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8431"/>
  <workbookPr filterPrivacy="1" defaultThemeVersion="124226"/>
  <xr:revisionPtr revIDLastSave="69" documentId="FFBA99A9D63D6EDC4EB0F68264D9B1517C048C13" xr6:coauthVersionLast="23" xr6:coauthVersionMax="23" xr10:uidLastSave="{1CE7A8B7-1AE6-4284-B80B-9E1578CEF016}"/>
  <bookViews>
    <workbookView xWindow="240" yWindow="105" windowWidth="14805" windowHeight="8010" xr2:uid="{00000000-000D-0000-FFFF-FFFF00000000}"/>
  </bookViews>
  <sheets>
    <sheet name="P&amp;L" sheetId="5" r:id="rId1"/>
    <sheet name="CashFlow" sheetId="8" r:id="rId2"/>
    <sheet name="Inventories" sheetId="9" r:id="rId3"/>
    <sheet name="VAT" sheetId="11" r:id="rId4"/>
    <sheet name="dividenti" sheetId="13" r:id="rId5"/>
    <sheet name="lv" sheetId="12" r:id="rId6"/>
  </sheets>
  <calcPr calcId="171027"/>
</workbook>
</file>

<file path=xl/calcChain.xml><?xml version="1.0" encoding="utf-8"?>
<calcChain xmlns="http://schemas.openxmlformats.org/spreadsheetml/2006/main">
  <c r="K10" i="11" l="1"/>
  <c r="J10" i="11"/>
  <c r="I9" i="9"/>
  <c r="J9" i="9"/>
  <c r="K9" i="9"/>
  <c r="L9" i="9"/>
  <c r="M9" i="9"/>
  <c r="H9" i="9"/>
  <c r="G9" i="9"/>
  <c r="F9" i="9"/>
  <c r="E9" i="9"/>
  <c r="P48" i="5"/>
  <c r="P47" i="5"/>
  <c r="N24" i="5"/>
  <c r="O24" i="5"/>
  <c r="P24" i="5"/>
  <c r="N25" i="5"/>
  <c r="O25" i="5"/>
  <c r="P25" i="5"/>
  <c r="N26" i="5"/>
  <c r="O26" i="5"/>
  <c r="P26" i="5"/>
  <c r="N27" i="5"/>
  <c r="O27" i="5"/>
  <c r="P27" i="5"/>
  <c r="N28" i="5"/>
  <c r="O28" i="5"/>
  <c r="P28" i="5"/>
  <c r="N29" i="5"/>
  <c r="O29" i="5"/>
  <c r="P29" i="5"/>
  <c r="N31" i="5"/>
  <c r="O31" i="5"/>
  <c r="P31" i="5"/>
  <c r="N33" i="5"/>
  <c r="O33" i="5"/>
  <c r="P33" i="5"/>
  <c r="N34" i="5"/>
  <c r="O34" i="5"/>
  <c r="P34" i="5"/>
  <c r="N35" i="5"/>
  <c r="O35" i="5"/>
  <c r="P35" i="5"/>
  <c r="N36" i="5"/>
  <c r="O36" i="5"/>
  <c r="P36" i="5"/>
  <c r="N37" i="5"/>
  <c r="O37" i="5"/>
  <c r="P37" i="5"/>
  <c r="N38" i="5"/>
  <c r="O38" i="5"/>
  <c r="P38" i="5"/>
  <c r="N40" i="5"/>
  <c r="O40" i="5"/>
  <c r="P40" i="5"/>
  <c r="N41" i="5"/>
  <c r="O41" i="5"/>
  <c r="P41" i="5"/>
  <c r="N42" i="5"/>
  <c r="O42" i="5"/>
  <c r="P42" i="5"/>
  <c r="N44" i="5"/>
  <c r="O44" i="5"/>
  <c r="P44" i="5"/>
  <c r="N45" i="5"/>
  <c r="O45" i="5"/>
  <c r="P45" i="5"/>
  <c r="N46" i="5"/>
  <c r="O46" i="5"/>
  <c r="P46" i="5"/>
  <c r="N47" i="5"/>
  <c r="O47" i="5"/>
  <c r="N48" i="5"/>
  <c r="O48" i="5"/>
  <c r="N49" i="5"/>
  <c r="O49" i="5"/>
  <c r="P49" i="5"/>
  <c r="N50" i="5"/>
  <c r="O50" i="5"/>
  <c r="P50" i="5"/>
  <c r="N51" i="5"/>
  <c r="O51" i="5"/>
  <c r="P51" i="5"/>
  <c r="N52" i="5"/>
  <c r="O52" i="5"/>
  <c r="P52" i="5"/>
  <c r="N19" i="5"/>
  <c r="O19" i="5"/>
  <c r="P19" i="5"/>
  <c r="N17" i="5"/>
  <c r="O17" i="5"/>
  <c r="O18" i="5" s="1"/>
  <c r="P17" i="5"/>
  <c r="N7" i="5"/>
  <c r="O7" i="5"/>
  <c r="P7" i="5"/>
  <c r="N8" i="5"/>
  <c r="O8" i="5"/>
  <c r="P8" i="5"/>
  <c r="N10" i="5"/>
  <c r="O10" i="5"/>
  <c r="P10" i="5"/>
  <c r="N11" i="5"/>
  <c r="O11" i="5"/>
  <c r="P11" i="5"/>
  <c r="N12" i="5"/>
  <c r="O12" i="5"/>
  <c r="P12" i="5"/>
  <c r="E103" i="12"/>
  <c r="F103" i="12"/>
  <c r="G103" i="12"/>
  <c r="H103" i="12"/>
  <c r="I103" i="12"/>
  <c r="J103" i="12"/>
  <c r="K103" i="12"/>
  <c r="L103" i="12"/>
  <c r="M103" i="12"/>
  <c r="N103" i="12"/>
  <c r="O103" i="12"/>
  <c r="D103" i="12"/>
  <c r="E99" i="12"/>
  <c r="F99" i="12"/>
  <c r="G99" i="12"/>
  <c r="H99" i="12"/>
  <c r="I99" i="12"/>
  <c r="J99" i="12"/>
  <c r="K99" i="12"/>
  <c r="L99" i="12"/>
  <c r="M99" i="12"/>
  <c r="N99" i="12"/>
  <c r="O99" i="12"/>
  <c r="D99" i="12"/>
  <c r="P18" i="5" l="1"/>
  <c r="N18" i="5"/>
  <c r="AE3" i="13"/>
  <c r="AI3" i="13" s="1"/>
  <c r="I36" i="5" l="1"/>
  <c r="J36" i="5"/>
  <c r="K36" i="5"/>
  <c r="L36" i="5"/>
  <c r="M36" i="5"/>
  <c r="H36" i="5"/>
  <c r="I29" i="5"/>
  <c r="J29" i="5"/>
  <c r="K29" i="5"/>
  <c r="L29" i="5"/>
  <c r="M29" i="5"/>
  <c r="H29" i="5"/>
  <c r="I10" i="5"/>
  <c r="J10" i="5"/>
  <c r="K10" i="5"/>
  <c r="L10" i="5"/>
  <c r="M10" i="5"/>
  <c r="H10" i="5"/>
  <c r="L24" i="5"/>
  <c r="M24" i="5"/>
  <c r="L25" i="5"/>
  <c r="M25" i="5"/>
  <c r="L26" i="5"/>
  <c r="M26" i="5"/>
  <c r="L27" i="5"/>
  <c r="M27" i="5"/>
  <c r="L28" i="5"/>
  <c r="M28" i="5"/>
  <c r="L31" i="5"/>
  <c r="M31" i="5"/>
  <c r="L33" i="5"/>
  <c r="M33" i="5"/>
  <c r="L34" i="5"/>
  <c r="M34" i="5"/>
  <c r="L35" i="5"/>
  <c r="M35" i="5"/>
  <c r="L37" i="5"/>
  <c r="M37" i="5"/>
  <c r="L38" i="5"/>
  <c r="M38" i="5"/>
  <c r="L40" i="5"/>
  <c r="M40" i="5"/>
  <c r="L41" i="5"/>
  <c r="M41" i="5"/>
  <c r="L42" i="5"/>
  <c r="M42" i="5"/>
  <c r="L44" i="5"/>
  <c r="M44" i="5"/>
  <c r="L45" i="5"/>
  <c r="M45" i="5"/>
  <c r="L46" i="5"/>
  <c r="M46" i="5"/>
  <c r="L47" i="5"/>
  <c r="M47" i="5"/>
  <c r="L48" i="5"/>
  <c r="M48" i="5"/>
  <c r="L49" i="5"/>
  <c r="M49" i="5"/>
  <c r="L50" i="5"/>
  <c r="M50" i="5"/>
  <c r="L51" i="5"/>
  <c r="M51" i="5"/>
  <c r="L52" i="5"/>
  <c r="M52" i="5"/>
  <c r="L19" i="5"/>
  <c r="M19" i="5"/>
  <c r="L17" i="5"/>
  <c r="M17" i="5"/>
  <c r="M12" i="5"/>
  <c r="L12" i="5"/>
  <c r="M11" i="5"/>
  <c r="L11" i="5"/>
  <c r="M8" i="5"/>
  <c r="L8" i="5"/>
  <c r="M7" i="5"/>
  <c r="L7" i="5"/>
  <c r="M18" i="5" l="1"/>
  <c r="L18" i="5"/>
  <c r="P9" i="11"/>
  <c r="O9" i="11"/>
  <c r="N9" i="11"/>
  <c r="M9" i="11"/>
  <c r="L9" i="11"/>
  <c r="I9" i="11"/>
  <c r="H9" i="11"/>
  <c r="G9" i="11"/>
  <c r="F9" i="11"/>
  <c r="P47" i="8"/>
  <c r="O47" i="8"/>
  <c r="N47" i="8"/>
  <c r="M47" i="8"/>
  <c r="L47" i="8"/>
  <c r="K47" i="8"/>
  <c r="J47" i="8"/>
  <c r="I47" i="8"/>
  <c r="H47" i="8"/>
  <c r="G47" i="8"/>
  <c r="F47" i="8"/>
  <c r="E47" i="8"/>
  <c r="N51" i="8"/>
  <c r="O51" i="8"/>
  <c r="P51" i="8"/>
  <c r="F51" i="8"/>
  <c r="G51" i="8"/>
  <c r="H51" i="8"/>
  <c r="I51" i="8"/>
  <c r="J51" i="8"/>
  <c r="K51" i="8"/>
  <c r="L51" i="8"/>
  <c r="M51" i="8"/>
  <c r="E51" i="8"/>
  <c r="P52" i="8" l="1"/>
  <c r="T62" i="5" l="1"/>
  <c r="T54" i="5"/>
  <c r="T53" i="5"/>
  <c r="T43" i="5"/>
  <c r="T39" i="5"/>
  <c r="K49" i="5" l="1"/>
  <c r="J49" i="5"/>
  <c r="I49" i="5"/>
  <c r="H49" i="5"/>
  <c r="J27" i="5"/>
  <c r="K52" i="5"/>
  <c r="J52" i="5"/>
  <c r="I52" i="5"/>
  <c r="H52" i="5"/>
  <c r="K51" i="5"/>
  <c r="J51" i="5"/>
  <c r="I51" i="5"/>
  <c r="H51" i="5"/>
  <c r="K38" i="5"/>
  <c r="J38" i="5"/>
  <c r="I38" i="5"/>
  <c r="K37" i="5"/>
  <c r="J37" i="5"/>
  <c r="I37" i="5"/>
  <c r="H37" i="5"/>
  <c r="H38" i="5"/>
  <c r="K33" i="5"/>
  <c r="J33" i="5"/>
  <c r="I33" i="5"/>
  <c r="H33" i="5"/>
  <c r="H28" i="5"/>
  <c r="K28" i="5"/>
  <c r="J28" i="5"/>
  <c r="I28" i="5"/>
  <c r="K26" i="5"/>
  <c r="J26" i="5"/>
  <c r="I26" i="5"/>
  <c r="H26" i="5"/>
  <c r="S26" i="5"/>
  <c r="R26" i="5"/>
  <c r="Q26" i="5"/>
  <c r="S30" i="5"/>
  <c r="R30" i="5"/>
  <c r="Q30" i="5"/>
  <c r="T30" i="5"/>
  <c r="S27" i="5"/>
  <c r="R27" i="5"/>
  <c r="Q27" i="5"/>
  <c r="S31" i="5"/>
  <c r="R31" i="5"/>
  <c r="Q31" i="5"/>
  <c r="S37" i="5"/>
  <c r="R37" i="5"/>
  <c r="Q37" i="5"/>
  <c r="S28" i="5"/>
  <c r="R28" i="5"/>
  <c r="Q28" i="5"/>
  <c r="S32" i="5"/>
  <c r="R32" i="5"/>
  <c r="Q32" i="5"/>
  <c r="T32" i="5"/>
  <c r="T28" i="5" l="1"/>
  <c r="T26" i="5"/>
  <c r="T33" i="5"/>
  <c r="T29" i="5"/>
  <c r="T36" i="5"/>
  <c r="T51" i="5"/>
  <c r="T52" i="5"/>
  <c r="T37" i="5"/>
  <c r="T49" i="5"/>
  <c r="H31" i="5"/>
  <c r="K8" i="5"/>
  <c r="J8" i="5"/>
  <c r="I8" i="5"/>
  <c r="H8" i="5"/>
  <c r="S12" i="5" l="1"/>
  <c r="R12" i="5"/>
  <c r="Q12" i="5"/>
  <c r="K19" i="5" l="1"/>
  <c r="J19" i="5"/>
  <c r="I19" i="5"/>
  <c r="S17" i="5"/>
  <c r="R17" i="5"/>
  <c r="Q17" i="5"/>
  <c r="K12" i="5"/>
  <c r="J12" i="5"/>
  <c r="I12" i="5"/>
  <c r="K11" i="5"/>
  <c r="J11" i="5"/>
  <c r="K7" i="5"/>
  <c r="J7" i="5"/>
  <c r="I7" i="5"/>
  <c r="K50" i="5"/>
  <c r="J50" i="5"/>
  <c r="I50" i="5"/>
  <c r="H50" i="5"/>
  <c r="H48" i="5"/>
  <c r="K48" i="5"/>
  <c r="J48" i="5"/>
  <c r="I48" i="5"/>
  <c r="K47" i="5"/>
  <c r="J47" i="5"/>
  <c r="I47" i="5"/>
  <c r="K46" i="5"/>
  <c r="J46" i="5"/>
  <c r="I46" i="5"/>
  <c r="K45" i="5"/>
  <c r="J45" i="5"/>
  <c r="I45" i="5"/>
  <c r="H46" i="5"/>
  <c r="H45" i="5"/>
  <c r="H44" i="5"/>
  <c r="K44" i="5"/>
  <c r="J44" i="5"/>
  <c r="I44" i="5"/>
  <c r="H41" i="5"/>
  <c r="K41" i="5"/>
  <c r="J41" i="5"/>
  <c r="I41" i="5"/>
  <c r="K40" i="5"/>
  <c r="J40" i="5"/>
  <c r="I40" i="5"/>
  <c r="H40" i="5"/>
  <c r="K34" i="5"/>
  <c r="J34" i="5"/>
  <c r="I34" i="5"/>
  <c r="H34" i="5"/>
  <c r="K31" i="5"/>
  <c r="J31" i="5"/>
  <c r="I31" i="5"/>
  <c r="H27" i="5"/>
  <c r="H24" i="5"/>
  <c r="T45" i="5" l="1"/>
  <c r="T48" i="5"/>
  <c r="T34" i="5"/>
  <c r="T41" i="5"/>
  <c r="T31" i="5"/>
  <c r="T40" i="5"/>
  <c r="T44" i="5"/>
  <c r="T46" i="5"/>
  <c r="T50" i="5"/>
  <c r="P48" i="8" l="1"/>
  <c r="G10" i="11"/>
  <c r="H10" i="11"/>
  <c r="I10" i="11"/>
  <c r="L10" i="11"/>
  <c r="M10" i="11"/>
  <c r="N10" i="11"/>
  <c r="O10" i="11"/>
  <c r="P10" i="11"/>
  <c r="J9" i="11" l="1"/>
  <c r="K9" i="11"/>
  <c r="J42" i="5"/>
  <c r="K42" i="5"/>
  <c r="I17" i="5" l="1"/>
  <c r="J17" i="5"/>
  <c r="K17" i="5"/>
  <c r="I11" i="5"/>
  <c r="I25" i="5"/>
  <c r="J25" i="5"/>
  <c r="K25" i="5"/>
  <c r="I24" i="5"/>
  <c r="J24" i="5"/>
  <c r="K24" i="5"/>
  <c r="I27" i="5"/>
  <c r="K27" i="5"/>
  <c r="T27" i="5" l="1"/>
  <c r="K18" i="5"/>
  <c r="J18" i="5"/>
  <c r="I18" i="5"/>
  <c r="N56" i="5"/>
  <c r="F23" i="9"/>
  <c r="G23" i="9"/>
  <c r="H23" i="9"/>
  <c r="I23" i="9"/>
  <c r="J23" i="9"/>
  <c r="K23" i="9"/>
  <c r="L23" i="9"/>
  <c r="M23" i="9"/>
  <c r="N23" i="9"/>
  <c r="O23" i="9"/>
  <c r="P23" i="9"/>
  <c r="E23" i="9"/>
  <c r="E20" i="9"/>
  <c r="K8" i="11" l="1"/>
  <c r="J100" i="12"/>
  <c r="J101" i="12" s="1"/>
  <c r="S48" i="5"/>
  <c r="R48" i="5"/>
  <c r="Q48" i="5"/>
  <c r="K35" i="5"/>
  <c r="J35" i="5"/>
  <c r="I35" i="5"/>
  <c r="H35" i="5"/>
  <c r="S7" i="5"/>
  <c r="R7" i="5"/>
  <c r="Q7" i="5"/>
  <c r="H7" i="5"/>
  <c r="S38" i="5"/>
  <c r="R38" i="5"/>
  <c r="Q38" i="5"/>
  <c r="H25" i="5"/>
  <c r="T25" i="5" s="1"/>
  <c r="T35" i="5" l="1"/>
  <c r="T38" i="5"/>
  <c r="F10" i="8"/>
  <c r="G10" i="8"/>
  <c r="H10" i="8"/>
  <c r="I10" i="8"/>
  <c r="J10" i="8"/>
  <c r="K10" i="8"/>
  <c r="L10" i="8"/>
  <c r="M10" i="8"/>
  <c r="N10" i="8"/>
  <c r="O10" i="8"/>
  <c r="P10" i="8"/>
  <c r="E10" i="8"/>
  <c r="H47" i="5" l="1"/>
  <c r="T47" i="5" s="1"/>
  <c r="I42" i="5"/>
  <c r="H42" i="5"/>
  <c r="H17" i="5"/>
  <c r="T42" i="5" l="1"/>
  <c r="H19" i="5"/>
  <c r="Q10" i="5"/>
  <c r="R10" i="5"/>
  <c r="S10" i="5"/>
  <c r="H18" i="5"/>
  <c r="H56" i="5" l="1"/>
  <c r="D100" i="12" s="1"/>
  <c r="D101" i="12" s="1"/>
  <c r="J11" i="9"/>
  <c r="K11" i="9"/>
  <c r="L11" i="9"/>
  <c r="M11" i="9"/>
  <c r="Q19" i="5"/>
  <c r="N11" i="9" s="1"/>
  <c r="R19" i="5"/>
  <c r="O11" i="9" s="1"/>
  <c r="S19" i="5"/>
  <c r="P11" i="9" s="1"/>
  <c r="L12" i="8"/>
  <c r="M12" i="8"/>
  <c r="N12" i="8"/>
  <c r="O12" i="8"/>
  <c r="P12" i="8"/>
  <c r="K12" i="8"/>
  <c r="H12" i="8"/>
  <c r="I12" i="8"/>
  <c r="J12" i="8"/>
  <c r="G12" i="8"/>
  <c r="Q11" i="5"/>
  <c r="R11" i="5"/>
  <c r="S11" i="5"/>
  <c r="H11" i="5"/>
  <c r="H12" i="5"/>
  <c r="E8" i="11" l="1"/>
  <c r="T12" i="5"/>
  <c r="T11" i="5"/>
  <c r="T10" i="5"/>
  <c r="F12" i="8"/>
  <c r="F25" i="9"/>
  <c r="O25" i="9"/>
  <c r="N25" i="9"/>
  <c r="M25" i="9"/>
  <c r="L25" i="9"/>
  <c r="J25" i="9"/>
  <c r="I25" i="9"/>
  <c r="H25" i="9"/>
  <c r="G25" i="9"/>
  <c r="E21" i="9"/>
  <c r="T63" i="5"/>
  <c r="F31" i="9" l="1"/>
  <c r="P26" i="8"/>
  <c r="L26" i="8"/>
  <c r="F26" i="8"/>
  <c r="O26" i="8"/>
  <c r="M26" i="8"/>
  <c r="J26" i="8"/>
  <c r="I26" i="8"/>
  <c r="H26" i="8"/>
  <c r="N26" i="8"/>
  <c r="K26" i="8"/>
  <c r="G26" i="8"/>
  <c r="E26" i="8"/>
  <c r="P37" i="8"/>
  <c r="O37" i="8"/>
  <c r="N37" i="8"/>
  <c r="M37" i="8"/>
  <c r="L37" i="8"/>
  <c r="K37" i="8"/>
  <c r="J37" i="8"/>
  <c r="I37" i="8"/>
  <c r="H37" i="8"/>
  <c r="G37" i="8"/>
  <c r="F37" i="8"/>
  <c r="E37" i="8"/>
  <c r="E11" i="8" l="1"/>
  <c r="E12" i="8"/>
  <c r="F11" i="9" l="1"/>
  <c r="F27" i="9" s="1"/>
  <c r="K27" i="9"/>
  <c r="P27" i="9"/>
  <c r="G11" i="9"/>
  <c r="G27" i="9" s="1"/>
  <c r="H11" i="9"/>
  <c r="H27" i="9" s="1"/>
  <c r="T9" i="5"/>
  <c r="J27" i="9" l="1"/>
  <c r="L27" i="9"/>
  <c r="E11" i="9"/>
  <c r="I11" i="9"/>
  <c r="I27" i="9" s="1"/>
  <c r="M27" i="9"/>
  <c r="T19" i="5"/>
  <c r="E27" i="9" l="1"/>
  <c r="E13" i="9"/>
  <c r="H14" i="5" l="1"/>
  <c r="D104" i="12" s="1"/>
  <c r="D105" i="12" s="1"/>
  <c r="T7" i="5"/>
  <c r="T6" i="5"/>
  <c r="T13" i="5"/>
  <c r="P14" i="5"/>
  <c r="L104" i="12" s="1"/>
  <c r="L105" i="12" s="1"/>
  <c r="L14" i="5"/>
  <c r="H104" i="12" s="1"/>
  <c r="H105" i="12" s="1"/>
  <c r="K14" i="5"/>
  <c r="G104" i="12" s="1"/>
  <c r="G105" i="12" s="1"/>
  <c r="J14" i="5"/>
  <c r="F104" i="12" s="1"/>
  <c r="F105" i="12" s="1"/>
  <c r="I14" i="5"/>
  <c r="E104" i="12" s="1"/>
  <c r="E105" i="12" s="1"/>
  <c r="M12" i="11" l="1"/>
  <c r="H12" i="11"/>
  <c r="G12" i="11"/>
  <c r="I12" i="11"/>
  <c r="F12" i="11"/>
  <c r="H58" i="5"/>
  <c r="G8" i="8"/>
  <c r="I8" i="8"/>
  <c r="F8" i="8"/>
  <c r="H8" i="8"/>
  <c r="M8" i="8"/>
  <c r="E12" i="11"/>
  <c r="E8" i="8"/>
  <c r="N14" i="5"/>
  <c r="J104" i="12" s="1"/>
  <c r="J105" i="12" s="1"/>
  <c r="R14" i="5"/>
  <c r="N104" i="12" s="1"/>
  <c r="N105" i="12" s="1"/>
  <c r="M14" i="5"/>
  <c r="I104" i="12" s="1"/>
  <c r="I105" i="12" s="1"/>
  <c r="O14" i="5"/>
  <c r="K104" i="12" s="1"/>
  <c r="K105" i="12" s="1"/>
  <c r="Q14" i="5"/>
  <c r="M104" i="12" s="1"/>
  <c r="M105" i="12" s="1"/>
  <c r="I56" i="5"/>
  <c r="E100" i="12" s="1"/>
  <c r="E101" i="12" s="1"/>
  <c r="S14" i="5"/>
  <c r="O104" i="12" s="1"/>
  <c r="O105" i="12" s="1"/>
  <c r="T24" i="5"/>
  <c r="T56" i="5" s="1"/>
  <c r="T8" i="5"/>
  <c r="T14" i="5" s="1"/>
  <c r="E20" i="11" s="1"/>
  <c r="J56" i="5"/>
  <c r="F100" i="12" s="1"/>
  <c r="F101" i="12" s="1"/>
  <c r="L56" i="5"/>
  <c r="K11" i="8"/>
  <c r="P56" i="5"/>
  <c r="R56" i="5"/>
  <c r="K56" i="5"/>
  <c r="G100" i="12" s="1"/>
  <c r="G101" i="12" s="1"/>
  <c r="O56" i="5"/>
  <c r="S56" i="5"/>
  <c r="P8" i="11" l="1"/>
  <c r="O100" i="12"/>
  <c r="O101" i="12" s="1"/>
  <c r="I8" i="11"/>
  <c r="H100" i="12"/>
  <c r="H101" i="12" s="1"/>
  <c r="L8" i="11"/>
  <c r="K100" i="12"/>
  <c r="K101" i="12" s="1"/>
  <c r="M8" i="11"/>
  <c r="L100" i="12"/>
  <c r="L101" i="12" s="1"/>
  <c r="O8" i="11"/>
  <c r="N100" i="12"/>
  <c r="N101" i="12" s="1"/>
  <c r="G8" i="11"/>
  <c r="F8" i="11"/>
  <c r="H8" i="11"/>
  <c r="L12" i="11"/>
  <c r="M11" i="8"/>
  <c r="M15" i="8" s="1"/>
  <c r="M39" i="8" s="1"/>
  <c r="J12" i="11"/>
  <c r="G11" i="8"/>
  <c r="G15" i="8" s="1"/>
  <c r="G39" i="8" s="1"/>
  <c r="O12" i="11"/>
  <c r="P11" i="8"/>
  <c r="I11" i="8"/>
  <c r="I15" i="8" s="1"/>
  <c r="I39" i="8" s="1"/>
  <c r="L11" i="8"/>
  <c r="H11" i="8"/>
  <c r="H15" i="8" s="1"/>
  <c r="H39" i="8" s="1"/>
  <c r="P12" i="11"/>
  <c r="N12" i="11"/>
  <c r="O11" i="8"/>
  <c r="F11" i="8"/>
  <c r="F15" i="8" s="1"/>
  <c r="F39" i="8" s="1"/>
  <c r="N58" i="5"/>
  <c r="K12" i="11"/>
  <c r="I58" i="5"/>
  <c r="P8" i="8"/>
  <c r="N8" i="8"/>
  <c r="J8" i="8"/>
  <c r="K8" i="8"/>
  <c r="L8" i="8"/>
  <c r="O8" i="8"/>
  <c r="S58" i="5"/>
  <c r="P58" i="5"/>
  <c r="L58" i="5"/>
  <c r="O58" i="5"/>
  <c r="K58" i="5"/>
  <c r="J58" i="5"/>
  <c r="Q56" i="5"/>
  <c r="M56" i="5"/>
  <c r="N8" i="11" l="1"/>
  <c r="M100" i="12"/>
  <c r="M101" i="12" s="1"/>
  <c r="J8" i="11"/>
  <c r="I100" i="12"/>
  <c r="I101" i="12" s="1"/>
  <c r="N11" i="8"/>
  <c r="N15" i="8" s="1"/>
  <c r="N39" i="8" s="1"/>
  <c r="O15" i="8"/>
  <c r="O39" i="8" s="1"/>
  <c r="J11" i="8"/>
  <c r="J15" i="8" s="1"/>
  <c r="J39" i="8" s="1"/>
  <c r="L15" i="8"/>
  <c r="L39" i="8" s="1"/>
  <c r="M58" i="5"/>
  <c r="O27" i="9" l="1"/>
  <c r="Q58" i="5"/>
  <c r="R58" i="5" l="1"/>
  <c r="T17" i="5"/>
  <c r="T58" i="5" s="1"/>
  <c r="T60" i="5" s="1"/>
  <c r="N27" i="9"/>
  <c r="T64" i="5" l="1"/>
  <c r="T65" i="5" s="1"/>
  <c r="F5" i="9" l="1"/>
  <c r="E9" i="11"/>
  <c r="E14" i="11" s="1"/>
  <c r="E15" i="8"/>
  <c r="E39" i="8" s="1"/>
  <c r="E41" i="8" s="1"/>
  <c r="E25" i="9"/>
  <c r="E29" i="9" s="1"/>
  <c r="F21" i="9" s="1"/>
  <c r="F29" i="9" s="1"/>
  <c r="G21" i="9" s="1"/>
  <c r="G29" i="9" s="1"/>
  <c r="H21" i="9" s="1"/>
  <c r="H29" i="9" s="1"/>
  <c r="I21" i="9" s="1"/>
  <c r="I29" i="9" s="1"/>
  <c r="J21" i="9" s="1"/>
  <c r="J29" i="9" s="1"/>
  <c r="K21" i="9" s="1"/>
  <c r="K15" i="8"/>
  <c r="K39" i="8" s="1"/>
  <c r="K25" i="9"/>
  <c r="P15" i="8"/>
  <c r="P39" i="8" s="1"/>
  <c r="P25" i="9"/>
  <c r="L31" i="9" s="1"/>
  <c r="K29" i="9" l="1"/>
  <c r="L21" i="9" s="1"/>
  <c r="L29" i="9" s="1"/>
  <c r="M21" i="9" s="1"/>
  <c r="M29" i="9" s="1"/>
  <c r="N21" i="9" s="1"/>
  <c r="N29" i="9" s="1"/>
  <c r="O21" i="9" s="1"/>
  <c r="O29" i="9" s="1"/>
  <c r="P21" i="9" s="1"/>
  <c r="P29" i="9" s="1"/>
  <c r="F5" i="8"/>
  <c r="F41" i="8" s="1"/>
  <c r="E43" i="8"/>
  <c r="E16" i="11"/>
  <c r="F5" i="11"/>
  <c r="F14" i="11" s="1"/>
  <c r="F13" i="9"/>
  <c r="G5" i="9" s="1"/>
  <c r="F16" i="11" l="1"/>
  <c r="G5" i="11"/>
  <c r="G14" i="11" s="1"/>
  <c r="G5" i="8"/>
  <c r="G41" i="8" s="1"/>
  <c r="F43" i="8"/>
  <c r="G13" i="9"/>
  <c r="H5" i="9" s="1"/>
  <c r="G16" i="11" l="1"/>
  <c r="H5" i="11"/>
  <c r="H14" i="11" s="1"/>
  <c r="H5" i="8"/>
  <c r="H41" i="8" s="1"/>
  <c r="G43" i="8"/>
  <c r="H13" i="9"/>
  <c r="I5" i="9" s="1"/>
  <c r="I13" i="9" s="1"/>
  <c r="J5" i="9" s="1"/>
  <c r="J13" i="9" s="1"/>
  <c r="K5" i="9" s="1"/>
  <c r="K13" i="9" s="1"/>
  <c r="L5" i="9" s="1"/>
  <c r="L13" i="9" s="1"/>
  <c r="M5" i="9" s="1"/>
  <c r="M13" i="9" s="1"/>
  <c r="N5" i="9" s="1"/>
  <c r="N13" i="9" s="1"/>
  <c r="O5" i="9" s="1"/>
  <c r="O13" i="9" s="1"/>
  <c r="P5" i="9" s="1"/>
  <c r="P13" i="9" s="1"/>
  <c r="I5" i="8" l="1"/>
  <c r="I41" i="8" s="1"/>
  <c r="H43" i="8"/>
  <c r="H16" i="11"/>
  <c r="I5" i="11"/>
  <c r="I14" i="11" s="1"/>
  <c r="J5" i="8" l="1"/>
  <c r="J41" i="8" s="1"/>
  <c r="I43" i="8"/>
  <c r="I16" i="11"/>
  <c r="J5" i="11"/>
  <c r="J14" i="11" s="1"/>
  <c r="K5" i="8" l="1"/>
  <c r="K41" i="8" s="1"/>
  <c r="J43" i="8"/>
  <c r="J16" i="11"/>
  <c r="K5" i="11"/>
  <c r="K14" i="11" s="1"/>
  <c r="L5" i="8" l="1"/>
  <c r="L41" i="8" s="1"/>
  <c r="K43" i="8"/>
  <c r="K16" i="11"/>
  <c r="L5" i="11"/>
  <c r="L14" i="11" s="1"/>
  <c r="L16" i="11" s="1"/>
  <c r="M5" i="8" l="1"/>
  <c r="M41" i="8" s="1"/>
  <c r="L43" i="8"/>
  <c r="M5" i="11"/>
  <c r="M14" i="11" s="1"/>
  <c r="N5" i="8" l="1"/>
  <c r="N41" i="8" s="1"/>
  <c r="M43" i="8"/>
  <c r="M16" i="11"/>
  <c r="N5" i="11"/>
  <c r="N14" i="11" s="1"/>
  <c r="O5" i="8" l="1"/>
  <c r="O41" i="8" s="1"/>
  <c r="N43" i="8"/>
  <c r="N16" i="11"/>
  <c r="O5" i="11"/>
  <c r="O14" i="11" s="1"/>
  <c r="P5" i="8" l="1"/>
  <c r="P41" i="8" s="1"/>
  <c r="P43" i="8" s="1"/>
  <c r="O43" i="8"/>
  <c r="O16" i="11"/>
  <c r="P5" i="11"/>
  <c r="P14" i="11" s="1"/>
  <c r="P16" i="11" s="1"/>
  <c r="E18" i="11" l="1"/>
  <c r="E22" i="1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C3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rikonstruksion,lyerje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C9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TVSH ne dogane</t>
        </r>
      </text>
    </comment>
    <comment ref="E10" authorId="0" shapeId="0" xr:uid="{00000000-0006-0000-0300-000002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pagese</t>
        </r>
      </text>
    </comment>
  </commentList>
</comments>
</file>

<file path=xl/sharedStrings.xml><?xml version="1.0" encoding="utf-8"?>
<sst xmlns="http://schemas.openxmlformats.org/spreadsheetml/2006/main" count="303" uniqueCount="264">
  <si>
    <t>Te Ardhura &amp; Shpenzime</t>
  </si>
  <si>
    <t>Janar</t>
  </si>
  <si>
    <t>Shkurt</t>
  </si>
  <si>
    <t>Mars</t>
  </si>
  <si>
    <t>Prill</t>
  </si>
  <si>
    <t>Maj</t>
  </si>
  <si>
    <t>Qershor</t>
  </si>
  <si>
    <t>Korrik</t>
  </si>
  <si>
    <t>Gusht</t>
  </si>
  <si>
    <t>Shtator</t>
  </si>
  <si>
    <t>Tetor</t>
  </si>
  <si>
    <t>Nentor</t>
  </si>
  <si>
    <t>Dhjetor</t>
  </si>
  <si>
    <t>Totali</t>
  </si>
  <si>
    <t>Te Ardhura</t>
  </si>
  <si>
    <t>Shitje e Produkteve te Veta</t>
  </si>
  <si>
    <t>Te Ardhura nga Sherbimet</t>
  </si>
  <si>
    <t>Shitje e Mallrave</t>
  </si>
  <si>
    <t>Totali I Te Ardhurave</t>
  </si>
  <si>
    <t>Zbritje</t>
  </si>
  <si>
    <t>Shpenzimet Operative</t>
  </si>
  <si>
    <t>Uje,energji elektrike,gaz</t>
  </si>
  <si>
    <t>Shpenzime Mirembajtje</t>
  </si>
  <si>
    <t>Shpenzime Komunikimi dhe Postare</t>
  </si>
  <si>
    <t>Shpenzime Transporti</t>
  </si>
  <si>
    <t>Shpenzime Udhetimi &amp; Akomodimi</t>
  </si>
  <si>
    <t>Shpenzime Sigurimi</t>
  </si>
  <si>
    <t>Shpenzime per Dhurata,Pritje e Percjellje</t>
  </si>
  <si>
    <t>Borxhi I Keq</t>
  </si>
  <si>
    <t>Totali I Shpenzimeve Operacionale</t>
  </si>
  <si>
    <t>Fitim/(Humbje)</t>
  </si>
  <si>
    <t>Kosto e Mallrave te Shitura</t>
  </si>
  <si>
    <t>Shpenzime per Blerje te Pastokueshme</t>
  </si>
  <si>
    <t>Shpenzime bankare</t>
  </si>
  <si>
    <t>Akcize</t>
  </si>
  <si>
    <t>Takse doganore</t>
  </si>
  <si>
    <t>Taksa e tarifa vendore</t>
  </si>
  <si>
    <t>Te tjera Tatime e Taksa</t>
  </si>
  <si>
    <t>Personel paga</t>
  </si>
  <si>
    <t>Personel kontribute</t>
  </si>
  <si>
    <t>Shpenzime te tjera rrjedhese</t>
  </si>
  <si>
    <t>Shpenzime Amortizimi</t>
  </si>
  <si>
    <t>tatimi mbi fitimin paraprak</t>
  </si>
  <si>
    <t>fitimi fiskal</t>
  </si>
  <si>
    <t>fitimi diference</t>
  </si>
  <si>
    <t>tatimi mbi fitimin diference</t>
  </si>
  <si>
    <t>%</t>
  </si>
  <si>
    <t>Shitje e Mallrave me Shumice</t>
  </si>
  <si>
    <t>Margin</t>
  </si>
  <si>
    <t>Cash Flow Statement</t>
  </si>
  <si>
    <t>For the Year Ending</t>
  </si>
  <si>
    <t>Cash at Beginning of Period</t>
  </si>
  <si>
    <t>Operations</t>
  </si>
  <si>
    <t>Cash receipts from customers</t>
  </si>
  <si>
    <t>Cash paid for</t>
  </si>
  <si>
    <t>Inventory purchases</t>
  </si>
  <si>
    <t>General operating and administrative expenses</t>
  </si>
  <si>
    <t>Wage expenses</t>
  </si>
  <si>
    <t>Interest</t>
  </si>
  <si>
    <t>Income taxes</t>
  </si>
  <si>
    <t>Net Cash Flow from Operations</t>
  </si>
  <si>
    <t>[42]</t>
  </si>
  <si>
    <t>Investing Activities</t>
  </si>
  <si>
    <t>Cash receipts from</t>
  </si>
  <si>
    <t>Sale of property and equipment</t>
  </si>
  <si>
    <t>Collection of principal on loans</t>
  </si>
  <si>
    <t>Sale of investment securities</t>
  </si>
  <si>
    <t>Purchase of property and equipment</t>
  </si>
  <si>
    <t>Making loans to other entities</t>
  </si>
  <si>
    <t>Purchase of investment securities</t>
  </si>
  <si>
    <t>Net Cash Flow from Investing Activities</t>
  </si>
  <si>
    <t>Financing Activities</t>
  </si>
  <si>
    <t>Issuance of stock</t>
  </si>
  <si>
    <t>Borrowing</t>
  </si>
  <si>
    <t>Repayment of loans</t>
  </si>
  <si>
    <t>Dividends</t>
  </si>
  <si>
    <t>Net Cash Flow from Financing Activities</t>
  </si>
  <si>
    <t>Net Increase in Cash</t>
  </si>
  <si>
    <t>Cash at End of Period</t>
  </si>
  <si>
    <t>{42}</t>
  </si>
  <si>
    <t>Inventories</t>
  </si>
  <si>
    <t>Beginning inventory</t>
  </si>
  <si>
    <t>Purchases</t>
  </si>
  <si>
    <t>Freight</t>
  </si>
  <si>
    <t>Direct labor</t>
  </si>
  <si>
    <t>Indirect expenses</t>
  </si>
  <si>
    <t>Inventories at Beginning of Period</t>
  </si>
  <si>
    <t>Inventories at End of Period</t>
  </si>
  <si>
    <t>Kosto e Mallrave te Shitura me Zbritje 50%</t>
  </si>
  <si>
    <t>Sherbime te Tjera</t>
  </si>
  <si>
    <t>Shpenzime Marketingu CP</t>
  </si>
  <si>
    <t>VAT code</t>
  </si>
  <si>
    <t>In EUR</t>
  </si>
  <si>
    <t>In LEK</t>
  </si>
  <si>
    <t>VAT</t>
  </si>
  <si>
    <t>Other</t>
  </si>
  <si>
    <t>Sales</t>
  </si>
  <si>
    <t>VAT at Beginning of Period</t>
  </si>
  <si>
    <t>VAT at End of Period</t>
  </si>
  <si>
    <t>PERSHKRIMLLOG1</t>
  </si>
  <si>
    <t>LLOGARIPK</t>
  </si>
  <si>
    <t>PERSHKRIMPK</t>
  </si>
  <si>
    <t>M01</t>
  </si>
  <si>
    <t>M02</t>
  </si>
  <si>
    <t>M03</t>
  </si>
  <si>
    <t>M04</t>
  </si>
  <si>
    <t>M05</t>
  </si>
  <si>
    <t>M06</t>
  </si>
  <si>
    <t>M07</t>
  </si>
  <si>
    <t>M08</t>
  </si>
  <si>
    <t>M09</t>
  </si>
  <si>
    <t>M10</t>
  </si>
  <si>
    <t>M11</t>
  </si>
  <si>
    <t>M12</t>
  </si>
  <si>
    <t>Furnitore per mallra , produkte e sherbime</t>
  </si>
  <si>
    <t>Kliente per mallra , produkte e sherbime</t>
  </si>
  <si>
    <t>Paga e shperblime</t>
  </si>
  <si>
    <t>Sigurime shoqerore dhe shendetsore</t>
  </si>
  <si>
    <t>Blerje /shpenzime te tjera</t>
  </si>
  <si>
    <t>Qira</t>
  </si>
  <si>
    <t>Sherbime bankare</t>
  </si>
  <si>
    <t>Pagat dhe shperblimet e personelit</t>
  </si>
  <si>
    <t>Sigurimet shoqerore dhe shendetesore</t>
  </si>
  <si>
    <t>Zbritje ne Shitje</t>
  </si>
  <si>
    <t>Te tjera</t>
  </si>
  <si>
    <t>Shpenzime per interesa</t>
  </si>
  <si>
    <t>Zbritje ne Blerje</t>
  </si>
  <si>
    <t>Shpenzime Qiraje CP</t>
  </si>
  <si>
    <t>Pagese TVSH</t>
  </si>
  <si>
    <t>Mallra grupi I</t>
  </si>
  <si>
    <t>Ndrysh.gjend.mallra</t>
  </si>
  <si>
    <t>Blerje /shpenzime mallra, sherbimesh</t>
  </si>
  <si>
    <t>Shitje mallrash</t>
  </si>
  <si>
    <t>Fitim nga kembimet valutore</t>
  </si>
  <si>
    <t>Nentrajtime</t>
  </si>
  <si>
    <t>(Financim) / Terheqje</t>
  </si>
  <si>
    <t>Materiale te para</t>
  </si>
  <si>
    <t>TVSH ne blerje</t>
  </si>
  <si>
    <t>TVSH ne shitje</t>
  </si>
  <si>
    <t>Det. per takse dog. etvsh ne  dogane</t>
  </si>
  <si>
    <t>BKT USD</t>
  </si>
  <si>
    <t>Tirana Bank Euro</t>
  </si>
  <si>
    <t>Arka ne LEK</t>
  </si>
  <si>
    <t>Xhirime te brendshme arke-banke</t>
  </si>
  <si>
    <t>Xhirime te brendshme konvertime</t>
  </si>
  <si>
    <t>Blerje /shpenzime te materialeve</t>
  </si>
  <si>
    <t>Ndrysh.gjend.mater.para</t>
  </si>
  <si>
    <t>Bl.energji,avull,uje</t>
  </si>
  <si>
    <t>Utilitete City Park/euro</t>
  </si>
  <si>
    <t>Agjenci doganore</t>
  </si>
  <si>
    <t>Sherbime interneti</t>
  </si>
  <si>
    <t>Zbritje ne shitje</t>
  </si>
  <si>
    <t>Tatim mbi fitimin</t>
  </si>
  <si>
    <t>Tirana Bank ne Lek</t>
  </si>
  <si>
    <t>Shpz.telefoni mobile</t>
  </si>
  <si>
    <t>Transporte per blerje</t>
  </si>
  <si>
    <t>Shpenzime  per interesa</t>
  </si>
  <si>
    <t>Humbje nga kembimet valutore</t>
  </si>
  <si>
    <t>TAKSE PASTRIMI DHE HIGJENE</t>
  </si>
  <si>
    <t>ALPHA BANK Prestige FR. LEK</t>
  </si>
  <si>
    <t>Arka ne Lek RING CENTER</t>
  </si>
  <si>
    <t>Blerje kancelarie</t>
  </si>
  <si>
    <t>Gjoba dhe demshperblime</t>
  </si>
  <si>
    <t>Shpenzime Marketingu TV</t>
  </si>
  <si>
    <t>Shpenzime Qiraje RING</t>
  </si>
  <si>
    <t>Zhvleresime te tjera per aktivet financiare</t>
  </si>
  <si>
    <t>Utilitete RING CENTER/euro</t>
  </si>
  <si>
    <t>Utilitete RING</t>
  </si>
  <si>
    <t>10-15%</t>
  </si>
  <si>
    <t>BoP</t>
  </si>
  <si>
    <t>EoP</t>
  </si>
  <si>
    <t>Suppliers</t>
  </si>
  <si>
    <t>Clients</t>
  </si>
  <si>
    <t>Lende djegese</t>
  </si>
  <si>
    <t>Tatim  mbi te ardhurat e personale</t>
  </si>
  <si>
    <t>Taksa doganore</t>
  </si>
  <si>
    <t>Tatime te tjera ndaj shtetit</t>
  </si>
  <si>
    <t>LANDESLEASE sh.a.</t>
  </si>
  <si>
    <t>RAIFFEISEN LEASING sh.a.</t>
  </si>
  <si>
    <t>Debitore te tjere ,kreditore te tjere</t>
  </si>
  <si>
    <t>KREDI AGJ (6.8 MLN LEKE)</t>
  </si>
  <si>
    <t>KREDI AGJ (1.65 MLN LEKE)</t>
  </si>
  <si>
    <t>KREDI AGJ (4.1 MLN LEKE)</t>
  </si>
  <si>
    <t>HUA BKT(7.45 MLN)</t>
  </si>
  <si>
    <t xml:space="preserve">Shpenzime te llogaritura </t>
  </si>
  <si>
    <t>CREDINS PR.FR.ALL</t>
  </si>
  <si>
    <t>BKT Llogari kredie ALL</t>
  </si>
  <si>
    <t>CREDINS PR.FR.EUR</t>
  </si>
  <si>
    <t>Xhirime te brendshme Banke-Banke</t>
  </si>
  <si>
    <t>Sherbime Auditim PF</t>
  </si>
  <si>
    <t>Sherbime pastrimi</t>
  </si>
  <si>
    <t>Sigurime</t>
  </si>
  <si>
    <t xml:space="preserve">Shpenzime marketingu </t>
  </si>
  <si>
    <t>Per personelin</t>
  </si>
  <si>
    <t>Taksa dhe tarifa vendore</t>
  </si>
  <si>
    <t>Tatime te tjera</t>
  </si>
  <si>
    <t>Shpenzime te tjera</t>
  </si>
  <si>
    <t>Te ndryshme</t>
  </si>
  <si>
    <t>Utilitete &amp; Qira CP</t>
  </si>
  <si>
    <t>Shpenzime Qiraje TEG</t>
  </si>
  <si>
    <t>TVSH ne Dogane</t>
  </si>
  <si>
    <t>Te drejta dhe detyrime-Dega Kosove</t>
  </si>
  <si>
    <t>Intessa 20899335302 ALL</t>
  </si>
  <si>
    <t>Intessa 20899335302 EUR</t>
  </si>
  <si>
    <t>Intessa 10899335303 EUR</t>
  </si>
  <si>
    <t>RBAL  41012720  EUR</t>
  </si>
  <si>
    <t>Arka ne Lek,TEG</t>
  </si>
  <si>
    <t>Utilitete SUART (City Park)</t>
  </si>
  <si>
    <t>Utilitete TEG</t>
  </si>
  <si>
    <t>Sherbime transporti brenda vendit</t>
  </si>
  <si>
    <t>Mirembajtje dhe riparime</t>
  </si>
  <si>
    <t>Shpenzime Marketing TEG</t>
  </si>
  <si>
    <t>Shpenzime per pritje dhe perfaqesime</t>
  </si>
  <si>
    <t>Shitje materiale e furnitura</t>
  </si>
  <si>
    <t>Shpenzime Marketingu TEG</t>
  </si>
  <si>
    <t>Ortaket</t>
  </si>
  <si>
    <t>Institucione kreditimi</t>
  </si>
  <si>
    <t>Pagese TVSH vjetore</t>
  </si>
  <si>
    <t>Te ardhurat neto Vjetore</t>
  </si>
  <si>
    <t>TVSH pagese marxh</t>
  </si>
  <si>
    <t>TAKSA DHE TARIFA ADMINISTRATIVE</t>
  </si>
  <si>
    <t>RBAL 31012720 ALL</t>
  </si>
  <si>
    <t>RBAL USD</t>
  </si>
  <si>
    <t>Sherbime Noteriale</t>
  </si>
  <si>
    <t>Konsulence Marketing</t>
  </si>
  <si>
    <t>Te ardhura nga interesat</t>
  </si>
  <si>
    <t>Te ardhura nga shitja e    AQT</t>
  </si>
  <si>
    <t>nr.rn.</t>
  </si>
  <si>
    <t>subjekti</t>
  </si>
  <si>
    <t>nipt</t>
  </si>
  <si>
    <t>forma</t>
  </si>
  <si>
    <t>tatimi</t>
  </si>
  <si>
    <t>vendimi i asambese se ortakeve</t>
  </si>
  <si>
    <t>pf te skanuara</t>
  </si>
  <si>
    <t>depozitimi ne tatime</t>
  </si>
  <si>
    <t>depozitimi ne qkr</t>
  </si>
  <si>
    <t>e-albania individ</t>
  </si>
  <si>
    <t>pass</t>
  </si>
  <si>
    <t>e-albania biznes</t>
  </si>
  <si>
    <t>shenime</t>
  </si>
  <si>
    <t>tot</t>
  </si>
  <si>
    <t>rezerva ligjore</t>
  </si>
  <si>
    <t>rezerva statutore</t>
  </si>
  <si>
    <t>investime afatgjata</t>
  </si>
  <si>
    <t>divident</t>
  </si>
  <si>
    <t>kapitali themeltar</t>
  </si>
  <si>
    <t>rritje kapitali</t>
  </si>
  <si>
    <t>aam</t>
  </si>
  <si>
    <t>tatim</t>
  </si>
  <si>
    <t>shpk</t>
  </si>
  <si>
    <t>tatim fitimi</t>
  </si>
  <si>
    <t>OK</t>
  </si>
  <si>
    <t>Circle99</t>
  </si>
  <si>
    <t>PRESTIGE FRANÇAIS</t>
  </si>
  <si>
    <t>L31715010E</t>
  </si>
  <si>
    <t>I10328119N</t>
  </si>
  <si>
    <t>Pajisje informative</t>
  </si>
  <si>
    <t>Detyrime te tjera</t>
  </si>
  <si>
    <t>Ortake llogari rrjedhese Skifter Picari</t>
  </si>
  <si>
    <t>shpenzimet</t>
  </si>
  <si>
    <t>shp P&amp;L</t>
  </si>
  <si>
    <t>ndryshimi</t>
  </si>
  <si>
    <t>te ardhurat</t>
  </si>
  <si>
    <t>te ardh P&amp;L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</si>
</sst>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_);\(#,##0\);\-"/>
    <numFmt numFmtId="165" formatCode="_(* #,##0_);_(* \(#,##0\);_(* &quot;-&quot;??_);_(@_)"/>
    <numFmt numFmtId="166" formatCode="[$€-2]\ #,##0_);\([$€-2]\ #,##0\)"/>
    <numFmt numFmtId="167" formatCode="[$€-2]\ #,##0_);[Red]\([$€-2]\ #,##0\)"/>
    <numFmt numFmtId="173" formatCode="#,##0.0000_);[Red]\(#,##0.0000\)"/>
  </numFmts>
  <fonts count="2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53"/>
      <name val="Arial"/>
      <family val="2"/>
    </font>
    <font>
      <b/>
      <sz val="10"/>
      <color indexed="9"/>
      <name val="Arial"/>
      <family val="2"/>
    </font>
    <font>
      <sz val="10"/>
      <color indexed="9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theme="1"/>
      <name val="Arial"/>
      <family val="2"/>
    </font>
    <font>
      <b/>
      <sz val="10"/>
      <color theme="0"/>
      <name val="Arial"/>
      <family val="2"/>
    </font>
    <font>
      <sz val="10"/>
      <color theme="1"/>
      <name val="Times New Roman"/>
      <family val="1"/>
    </font>
    <font>
      <sz val="9"/>
      <name val="Arial"/>
      <family val="2"/>
    </font>
    <font>
      <sz val="10"/>
      <color rgb="FFFF0000"/>
      <name val="Arial"/>
      <family val="2"/>
    </font>
    <font>
      <sz val="8"/>
      <color theme="1"/>
      <name val="Arial"/>
      <family val="2"/>
    </font>
    <font>
      <sz val="8"/>
      <color rgb="FFFF0000"/>
      <name val="Arial"/>
      <family val="2"/>
    </font>
    <font>
      <b/>
      <sz val="8"/>
      <color theme="1"/>
      <name val="Arial"/>
      <family val="2"/>
    </font>
    <font>
      <sz val="8"/>
      <color theme="0" tint="-0.249977111117893"/>
      <name val="Arial"/>
      <family val="2"/>
    </font>
    <font>
      <b/>
      <sz val="8"/>
      <color indexed="8"/>
      <name val="Arial"/>
      <family val="2"/>
    </font>
    <font>
      <b/>
      <sz val="8"/>
      <color theme="0" tint="-0.249977111117893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b/>
      <sz val="8"/>
      <color theme="0"/>
      <name val="Arial"/>
      <family val="2"/>
    </font>
    <font>
      <b/>
      <sz val="8"/>
      <color rgb="FFFF0000"/>
      <name val="Arial"/>
      <family val="2"/>
    </font>
    <font>
      <sz val="8"/>
      <color theme="3" tint="0.39997558519241921"/>
      <name val="Arial"/>
      <family val="2"/>
    </font>
    <font>
      <b/>
      <sz val="8"/>
      <color theme="3" tint="0.3999755851924192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0" fontId="1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118">
    <xf numFmtId="0" fontId="0" fillId="0" borderId="0" xfId="0"/>
    <xf numFmtId="0" fontId="3" fillId="2" borderId="0" xfId="0" applyFont="1" applyFill="1" applyAlignment="1" applyProtection="1">
      <alignment vertical="center"/>
      <protection locked="0"/>
    </xf>
    <xf numFmtId="0" fontId="4" fillId="2" borderId="0" xfId="0" applyFont="1" applyFill="1"/>
    <xf numFmtId="0" fontId="5" fillId="2" borderId="0" xfId="0" applyFont="1" applyFill="1" applyAlignment="1">
      <alignment vertical="center"/>
    </xf>
    <xf numFmtId="0" fontId="4" fillId="2" borderId="0" xfId="0" applyFont="1" applyFill="1" applyAlignment="1"/>
    <xf numFmtId="0" fontId="4" fillId="2" borderId="0" xfId="0" applyFont="1" applyFill="1" applyAlignment="1" applyProtection="1">
      <alignment horizontal="right" indent="1"/>
      <protection locked="0"/>
    </xf>
    <xf numFmtId="14" fontId="4" fillId="2" borderId="0" xfId="0" applyNumberFormat="1" applyFont="1" applyFill="1" applyAlignment="1" applyProtection="1">
      <protection locked="0"/>
    </xf>
    <xf numFmtId="41" fontId="4" fillId="2" borderId="4" xfId="4" applyNumberFormat="1" applyFont="1" applyFill="1" applyBorder="1" applyAlignment="1" applyProtection="1">
      <protection locked="0"/>
    </xf>
    <xf numFmtId="0" fontId="6" fillId="5" borderId="0" xfId="0" applyFont="1" applyFill="1" applyAlignment="1">
      <alignment horizontal="left"/>
    </xf>
    <xf numFmtId="17" fontId="6" fillId="5" borderId="0" xfId="0" applyNumberFormat="1" applyFont="1" applyFill="1" applyAlignment="1"/>
    <xf numFmtId="0" fontId="4" fillId="2" borderId="5" xfId="0" applyFont="1" applyFill="1" applyBorder="1" applyAlignment="1" applyProtection="1">
      <alignment horizontal="left"/>
      <protection locked="0"/>
    </xf>
    <xf numFmtId="0" fontId="4" fillId="2" borderId="0" xfId="0" applyFont="1" applyFill="1" applyAlignment="1" applyProtection="1">
      <alignment horizontal="left"/>
      <protection locked="0"/>
    </xf>
    <xf numFmtId="41" fontId="4" fillId="2" borderId="0" xfId="4" applyNumberFormat="1" applyFont="1" applyFill="1" applyBorder="1" applyAlignment="1"/>
    <xf numFmtId="0" fontId="4" fillId="2" borderId="0" xfId="0" applyFont="1" applyFill="1" applyAlignment="1" applyProtection="1">
      <protection locked="0"/>
    </xf>
    <xf numFmtId="0" fontId="4" fillId="6" borderId="0" xfId="0" applyFont="1" applyFill="1" applyAlignment="1">
      <alignment horizontal="left"/>
    </xf>
    <xf numFmtId="41" fontId="3" fillId="6" borderId="6" xfId="0" applyNumberFormat="1" applyFont="1" applyFill="1" applyBorder="1"/>
    <xf numFmtId="0" fontId="7" fillId="2" borderId="0" xfId="0" applyFont="1" applyFill="1" applyAlignment="1">
      <alignment horizontal="right"/>
    </xf>
    <xf numFmtId="0" fontId="6" fillId="5" borderId="0" xfId="0" applyFont="1" applyFill="1" applyAlignment="1"/>
    <xf numFmtId="0" fontId="4" fillId="2" borderId="0" xfId="0" applyFont="1" applyFill="1" applyProtection="1">
      <protection locked="0"/>
    </xf>
    <xf numFmtId="0" fontId="4" fillId="6" borderId="0" xfId="0" applyFont="1" applyFill="1" applyAlignment="1" applyProtection="1">
      <alignment horizontal="left"/>
      <protection locked="0"/>
    </xf>
    <xf numFmtId="0" fontId="4" fillId="6" borderId="0" xfId="0" applyFont="1" applyFill="1" applyBorder="1" applyAlignment="1" applyProtection="1">
      <alignment horizontal="left"/>
      <protection locked="0"/>
    </xf>
    <xf numFmtId="41" fontId="3" fillId="6" borderId="7" xfId="0" applyNumberFormat="1" applyFont="1" applyFill="1" applyBorder="1"/>
    <xf numFmtId="0" fontId="7" fillId="2" borderId="0" xfId="0" applyFont="1" applyFill="1"/>
    <xf numFmtId="0" fontId="4" fillId="2" borderId="0" xfId="0" applyFont="1" applyFill="1" applyAlignment="1">
      <alignment horizontal="right"/>
    </xf>
    <xf numFmtId="0" fontId="10" fillId="7" borderId="0" xfId="0" applyFont="1" applyFill="1"/>
    <xf numFmtId="0" fontId="10" fillId="7" borderId="0" xfId="0" applyFont="1" applyFill="1" applyBorder="1"/>
    <xf numFmtId="3" fontId="4" fillId="2" borderId="4" xfId="4" applyNumberFormat="1" applyFont="1" applyFill="1" applyBorder="1" applyAlignment="1" applyProtection="1">
      <protection locked="0"/>
    </xf>
    <xf numFmtId="3" fontId="10" fillId="7" borderId="0" xfId="0" applyNumberFormat="1" applyFont="1" applyFill="1" applyBorder="1"/>
    <xf numFmtId="3" fontId="10" fillId="7" borderId="1" xfId="0" applyNumberFormat="1" applyFont="1" applyFill="1" applyBorder="1"/>
    <xf numFmtId="3" fontId="3" fillId="6" borderId="7" xfId="0" applyNumberFormat="1" applyFont="1" applyFill="1" applyBorder="1"/>
    <xf numFmtId="165" fontId="4" fillId="2" borderId="0" xfId="2" applyNumberFormat="1" applyFont="1" applyFill="1"/>
    <xf numFmtId="165" fontId="4" fillId="2" borderId="0" xfId="0" applyNumberFormat="1" applyFont="1" applyFill="1"/>
    <xf numFmtId="0" fontId="6" fillId="5" borderId="0" xfId="0" applyFont="1" applyFill="1" applyAlignment="1">
      <alignment horizontal="left"/>
    </xf>
    <xf numFmtId="0" fontId="4" fillId="6" borderId="0" xfId="0" applyFont="1" applyFill="1" applyBorder="1" applyAlignment="1" applyProtection="1">
      <alignment horizontal="left"/>
      <protection locked="0"/>
    </xf>
    <xf numFmtId="167" fontId="10" fillId="7" borderId="0" xfId="0" applyNumberFormat="1" applyFont="1" applyFill="1" applyBorder="1"/>
    <xf numFmtId="167" fontId="10" fillId="7" borderId="1" xfId="0" applyNumberFormat="1" applyFont="1" applyFill="1" applyBorder="1"/>
    <xf numFmtId="167" fontId="3" fillId="6" borderId="7" xfId="0" applyNumberFormat="1" applyFont="1" applyFill="1" applyBorder="1"/>
    <xf numFmtId="167" fontId="4" fillId="4" borderId="4" xfId="4" applyNumberFormat="1" applyFont="1" applyFill="1" applyBorder="1" applyAlignment="1" applyProtection="1">
      <protection locked="0"/>
    </xf>
    <xf numFmtId="167" fontId="4" fillId="2" borderId="4" xfId="4" applyNumberFormat="1" applyFont="1" applyFill="1" applyBorder="1" applyAlignment="1" applyProtection="1">
      <protection locked="0"/>
    </xf>
    <xf numFmtId="38" fontId="10" fillId="7" borderId="0" xfId="0" applyNumberFormat="1" applyFont="1" applyFill="1" applyBorder="1"/>
    <xf numFmtId="167" fontId="4" fillId="2" borderId="0" xfId="0" applyNumberFormat="1" applyFont="1" applyFill="1"/>
    <xf numFmtId="41" fontId="4" fillId="9" borderId="4" xfId="4" applyNumberFormat="1" applyFont="1" applyFill="1" applyBorder="1" applyAlignment="1" applyProtection="1">
      <protection locked="0"/>
    </xf>
    <xf numFmtId="3" fontId="10" fillId="9" borderId="0" xfId="0" applyNumberFormat="1" applyFont="1" applyFill="1" applyBorder="1"/>
    <xf numFmtId="3" fontId="4" fillId="9" borderId="4" xfId="4" applyNumberFormat="1" applyFont="1" applyFill="1" applyBorder="1" applyAlignment="1" applyProtection="1">
      <protection locked="0"/>
    </xf>
    <xf numFmtId="38" fontId="4" fillId="6" borderId="0" xfId="4" applyNumberFormat="1" applyFont="1" applyFill="1" applyBorder="1" applyAlignment="1"/>
    <xf numFmtId="38" fontId="4" fillId="2" borderId="0" xfId="0" applyNumberFormat="1" applyFont="1" applyFill="1"/>
    <xf numFmtId="3" fontId="10" fillId="8" borderId="0" xfId="0" applyNumberFormat="1" applyFont="1" applyFill="1" applyBorder="1"/>
    <xf numFmtId="3" fontId="4" fillId="2" borderId="0" xfId="0" applyNumberFormat="1" applyFont="1" applyFill="1"/>
    <xf numFmtId="3" fontId="11" fillId="10" borderId="0" xfId="2" applyNumberFormat="1" applyFont="1" applyFill="1"/>
    <xf numFmtId="3" fontId="4" fillId="2" borderId="0" xfId="2" applyNumberFormat="1" applyFont="1" applyFill="1"/>
    <xf numFmtId="3" fontId="11" fillId="10" borderId="0" xfId="0" applyNumberFormat="1" applyFont="1" applyFill="1"/>
    <xf numFmtId="0" fontId="12" fillId="0" borderId="0" xfId="0" applyFont="1" applyFill="1"/>
    <xf numFmtId="3" fontId="12" fillId="0" borderId="0" xfId="0" applyNumberFormat="1" applyFont="1" applyFill="1"/>
    <xf numFmtId="3" fontId="12" fillId="0" borderId="0" xfId="2" applyNumberFormat="1" applyFont="1" applyFill="1"/>
    <xf numFmtId="165" fontId="13" fillId="2" borderId="0" xfId="0" applyNumberFormat="1" applyFont="1" applyFill="1"/>
    <xf numFmtId="9" fontId="4" fillId="2" borderId="0" xfId="3" applyFont="1" applyFill="1"/>
    <xf numFmtId="0" fontId="12" fillId="8" borderId="0" xfId="0" applyFont="1" applyFill="1"/>
    <xf numFmtId="0" fontId="14" fillId="2" borderId="0" xfId="0" applyFont="1" applyFill="1"/>
    <xf numFmtId="165" fontId="14" fillId="2" borderId="0" xfId="2" applyNumberFormat="1" applyFont="1" applyFill="1"/>
    <xf numFmtId="0" fontId="10" fillId="0" borderId="0" xfId="0" applyFont="1"/>
    <xf numFmtId="3" fontId="10" fillId="0" borderId="0" xfId="0" applyNumberFormat="1" applyFont="1"/>
    <xf numFmtId="0" fontId="10" fillId="0" borderId="0" xfId="0" applyFont="1" applyAlignment="1">
      <alignment wrapText="1"/>
    </xf>
    <xf numFmtId="3" fontId="10" fillId="10" borderId="0" xfId="0" applyNumberFormat="1" applyFont="1" applyFill="1"/>
    <xf numFmtId="0" fontId="10" fillId="0" borderId="0" xfId="0" applyFont="1" applyAlignment="1"/>
    <xf numFmtId="0" fontId="6" fillId="5" borderId="0" xfId="0" applyFont="1" applyFill="1" applyAlignment="1">
      <alignment horizontal="left"/>
    </xf>
    <xf numFmtId="0" fontId="4" fillId="2" borderId="0" xfId="0" applyFont="1" applyFill="1" applyAlignment="1">
      <alignment horizontal="center"/>
    </xf>
    <xf numFmtId="0" fontId="4" fillId="2" borderId="0" xfId="0" applyFont="1" applyFill="1" applyBorder="1" applyAlignment="1" applyProtection="1">
      <alignment horizontal="left"/>
      <protection locked="0"/>
    </xf>
    <xf numFmtId="0" fontId="4" fillId="2" borderId="0" xfId="0" applyFont="1" applyFill="1" applyAlignment="1" applyProtection="1">
      <alignment horizontal="left"/>
      <protection locked="0"/>
    </xf>
    <xf numFmtId="0" fontId="4" fillId="6" borderId="0" xfId="0" applyFont="1" applyFill="1" applyAlignment="1">
      <alignment horizontal="left"/>
    </xf>
    <xf numFmtId="0" fontId="4" fillId="6" borderId="0" xfId="0" applyFont="1" applyFill="1" applyAlignment="1" applyProtection="1">
      <alignment horizontal="left"/>
      <protection locked="0"/>
    </xf>
    <xf numFmtId="0" fontId="4" fillId="6" borderId="0" xfId="0" applyFont="1" applyFill="1" applyBorder="1" applyAlignment="1" applyProtection="1">
      <alignment horizontal="left"/>
      <protection locked="0"/>
    </xf>
    <xf numFmtId="0" fontId="11" fillId="6" borderId="0" xfId="0" applyFont="1" applyFill="1" applyBorder="1" applyAlignment="1" applyProtection="1">
      <alignment horizontal="right"/>
      <protection locked="0"/>
    </xf>
    <xf numFmtId="0" fontId="4" fillId="2" borderId="0" xfId="0" applyFont="1" applyFill="1" applyAlignment="1">
      <alignment horizontal="left"/>
    </xf>
    <xf numFmtId="0" fontId="15" fillId="2" borderId="0" xfId="0" applyFont="1" applyFill="1"/>
    <xf numFmtId="3" fontId="16" fillId="2" borderId="0" xfId="0" applyNumberFormat="1" applyFont="1" applyFill="1"/>
    <xf numFmtId="0" fontId="17" fillId="2" borderId="0" xfId="0" applyFont="1" applyFill="1"/>
    <xf numFmtId="0" fontId="18" fillId="2" borderId="0" xfId="0" applyFont="1" applyFill="1"/>
    <xf numFmtId="0" fontId="19" fillId="2" borderId="0" xfId="0" applyFont="1" applyFill="1" applyBorder="1"/>
    <xf numFmtId="1" fontId="19" fillId="2" borderId="1" xfId="0" applyNumberFormat="1" applyFont="1" applyFill="1" applyBorder="1" applyAlignment="1">
      <alignment horizontal="center"/>
    </xf>
    <xf numFmtId="0" fontId="19" fillId="2" borderId="0" xfId="0" applyFont="1" applyFill="1"/>
    <xf numFmtId="0" fontId="20" fillId="2" borderId="0" xfId="0" applyFont="1" applyFill="1"/>
    <xf numFmtId="0" fontId="19" fillId="2" borderId="2" xfId="0" applyFont="1" applyFill="1" applyBorder="1"/>
    <xf numFmtId="17" fontId="19" fillId="2" borderId="2" xfId="0" applyNumberFormat="1" applyFont="1" applyFill="1" applyBorder="1" applyAlignment="1">
      <alignment horizontal="center"/>
    </xf>
    <xf numFmtId="0" fontId="19" fillId="2" borderId="2" xfId="0" applyFont="1" applyFill="1" applyBorder="1" applyAlignment="1">
      <alignment horizontal="center"/>
    </xf>
    <xf numFmtId="164" fontId="15" fillId="9" borderId="0" xfId="0" applyNumberFormat="1" applyFont="1" applyFill="1"/>
    <xf numFmtId="164" fontId="15" fillId="8" borderId="0" xfId="0" applyNumberFormat="1" applyFont="1" applyFill="1"/>
    <xf numFmtId="164" fontId="17" fillId="2" borderId="0" xfId="0" applyNumberFormat="1" applyFont="1" applyFill="1"/>
    <xf numFmtId="0" fontId="21" fillId="2" borderId="0" xfId="0" applyFont="1" applyFill="1"/>
    <xf numFmtId="164" fontId="22" fillId="2" borderId="0" xfId="0" applyNumberFormat="1" applyFont="1" applyFill="1"/>
    <xf numFmtId="164" fontId="21" fillId="9" borderId="0" xfId="0" applyNumberFormat="1" applyFont="1" applyFill="1"/>
    <xf numFmtId="164" fontId="16" fillId="8" borderId="0" xfId="0" applyNumberFormat="1" applyFont="1" applyFill="1"/>
    <xf numFmtId="164" fontId="21" fillId="8" borderId="0" xfId="0" applyNumberFormat="1" applyFont="1" applyFill="1"/>
    <xf numFmtId="0" fontId="15" fillId="2" borderId="1" xfId="0" applyFont="1" applyFill="1" applyBorder="1"/>
    <xf numFmtId="164" fontId="15" fillId="2" borderId="1" xfId="0" applyNumberFormat="1" applyFont="1" applyFill="1" applyBorder="1"/>
    <xf numFmtId="164" fontId="19" fillId="2" borderId="1" xfId="0" applyNumberFormat="1" applyFont="1" applyFill="1" applyBorder="1"/>
    <xf numFmtId="164" fontId="19" fillId="2" borderId="0" xfId="0" applyNumberFormat="1" applyFont="1" applyFill="1"/>
    <xf numFmtId="166" fontId="19" fillId="2" borderId="0" xfId="0" applyNumberFormat="1" applyFont="1" applyFill="1"/>
    <xf numFmtId="164" fontId="15" fillId="2" borderId="0" xfId="0" applyNumberFormat="1" applyFont="1" applyFill="1"/>
    <xf numFmtId="164" fontId="23" fillId="2" borderId="0" xfId="0" applyNumberFormat="1" applyFont="1" applyFill="1"/>
    <xf numFmtId="9" fontId="15" fillId="2" borderId="0" xfId="3" applyFont="1" applyFill="1"/>
    <xf numFmtId="9" fontId="15" fillId="2" borderId="0" xfId="0" applyNumberFormat="1" applyFont="1" applyFill="1"/>
    <xf numFmtId="164" fontId="21" fillId="2" borderId="0" xfId="0" applyNumberFormat="1" applyFont="1" applyFill="1"/>
    <xf numFmtId="164" fontId="16" fillId="9" borderId="0" xfId="0" applyNumberFormat="1" applyFont="1" applyFill="1"/>
    <xf numFmtId="43" fontId="15" fillId="2" borderId="0" xfId="2" applyFont="1" applyFill="1"/>
    <xf numFmtId="0" fontId="22" fillId="2" borderId="0" xfId="0" applyFont="1" applyFill="1"/>
    <xf numFmtId="0" fontId="23" fillId="2" borderId="0" xfId="0" applyFont="1" applyFill="1"/>
    <xf numFmtId="0" fontId="19" fillId="2" borderId="3" xfId="0" applyFont="1" applyFill="1" applyBorder="1"/>
    <xf numFmtId="164" fontId="19" fillId="2" borderId="3" xfId="0" applyNumberFormat="1" applyFont="1" applyFill="1" applyBorder="1"/>
    <xf numFmtId="0" fontId="24" fillId="3" borderId="0" xfId="0" applyFont="1" applyFill="1"/>
    <xf numFmtId="164" fontId="24" fillId="3" borderId="0" xfId="0" applyNumberFormat="1" applyFont="1" applyFill="1"/>
    <xf numFmtId="9" fontId="24" fillId="3" borderId="0" xfId="3" applyFont="1" applyFill="1"/>
    <xf numFmtId="0" fontId="16" fillId="2" borderId="0" xfId="0" applyFont="1" applyFill="1"/>
    <xf numFmtId="165" fontId="25" fillId="2" borderId="0" xfId="2" applyNumberFormat="1" applyFont="1" applyFill="1"/>
    <xf numFmtId="0" fontId="26" fillId="2" borderId="0" xfId="0" applyFont="1" applyFill="1"/>
    <xf numFmtId="165" fontId="27" fillId="2" borderId="0" xfId="2" applyNumberFormat="1" applyFont="1" applyFill="1"/>
    <xf numFmtId="165" fontId="18" fillId="2" borderId="0" xfId="0" applyNumberFormat="1" applyFont="1" applyFill="1"/>
    <xf numFmtId="0" fontId="25" fillId="2" borderId="0" xfId="0" applyFont="1" applyFill="1"/>
    <xf numFmtId="173" fontId="10" fillId="7" borderId="0" xfId="0" applyNumberFormat="1" applyFont="1" applyFill="1" applyBorder="1"/>
  </cellXfs>
  <cellStyles count="5">
    <cellStyle name="Comma" xfId="2" builtinId="3"/>
    <cellStyle name="Currency" xfId="4" builtinId="4"/>
    <cellStyle name="Normal" xfId="0" builtinId="0"/>
    <cellStyle name="Normal 9" xfId="1" xr:uid="{00000000-0005-0000-0000-000003000000}"/>
    <cellStyle name="Percent" xfId="3" builtin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249977111117893"/>
  </sheetPr>
  <dimension ref="A1:W68"/>
  <sheetViews>
    <sheetView tabSelected="1" zoomScaleNormal="100" workbookViewId="0">
      <selection activeCell="H6" sqref="H6"/>
    </sheetView>
  </sheetViews>
  <sheetFormatPr defaultRowHeight="11.25" x14ac:dyDescent="0.2"/>
  <cols>
    <col min="1" max="3" width="1.7109375" style="73" customWidth="1"/>
    <col min="4" max="6" width="9.140625" style="73"/>
    <col min="7" max="7" width="1.7109375" style="73" customWidth="1"/>
    <col min="8" max="19" width="10.7109375" style="73" customWidth="1"/>
    <col min="20" max="20" width="10.7109375" style="75" customWidth="1"/>
    <col min="21" max="21" width="9.7109375" style="73" bestFit="1" customWidth="1"/>
    <col min="22" max="22" width="9.140625" style="76" customWidth="1"/>
    <col min="23" max="16384" width="9.140625" style="73"/>
  </cols>
  <sheetData>
    <row r="1" spans="1:22" x14ac:dyDescent="0.2">
      <c r="Q1" s="74"/>
      <c r="R1" s="74"/>
      <c r="S1" s="74"/>
    </row>
    <row r="2" spans="1:22" s="79" customFormat="1" x14ac:dyDescent="0.2">
      <c r="A2" s="77"/>
      <c r="B2" s="77" t="s">
        <v>0</v>
      </c>
      <c r="C2" s="77"/>
      <c r="D2" s="77"/>
      <c r="E2" s="77"/>
      <c r="F2" s="77"/>
      <c r="G2" s="77"/>
      <c r="H2" s="78">
        <v>2017</v>
      </c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V2" s="80" t="s">
        <v>91</v>
      </c>
    </row>
    <row r="3" spans="1:22" s="79" customFormat="1" ht="12" thickBot="1" x14ac:dyDescent="0.25">
      <c r="A3" s="81"/>
      <c r="B3" s="81"/>
      <c r="C3" s="81"/>
      <c r="D3" s="81"/>
      <c r="E3" s="81"/>
      <c r="F3" s="81"/>
      <c r="G3" s="81"/>
      <c r="H3" s="82" t="s">
        <v>1</v>
      </c>
      <c r="I3" s="82" t="s">
        <v>2</v>
      </c>
      <c r="J3" s="82" t="s">
        <v>3</v>
      </c>
      <c r="K3" s="82" t="s">
        <v>4</v>
      </c>
      <c r="L3" s="82" t="s">
        <v>5</v>
      </c>
      <c r="M3" s="82" t="s">
        <v>6</v>
      </c>
      <c r="N3" s="83" t="s">
        <v>7</v>
      </c>
      <c r="O3" s="83" t="s">
        <v>8</v>
      </c>
      <c r="P3" s="83" t="s">
        <v>9</v>
      </c>
      <c r="Q3" s="83" t="s">
        <v>10</v>
      </c>
      <c r="R3" s="83" t="s">
        <v>11</v>
      </c>
      <c r="S3" s="83" t="s">
        <v>12</v>
      </c>
      <c r="T3" s="83" t="s">
        <v>13</v>
      </c>
      <c r="V3" s="80"/>
    </row>
    <row r="5" spans="1:22" x14ac:dyDescent="0.2">
      <c r="B5" s="75" t="s">
        <v>14</v>
      </c>
    </row>
    <row r="6" spans="1:22" x14ac:dyDescent="0.2">
      <c r="C6" s="73" t="s">
        <v>15</v>
      </c>
      <c r="H6" s="84"/>
      <c r="I6" s="84"/>
      <c r="J6" s="84"/>
      <c r="K6" s="84"/>
      <c r="L6" s="84"/>
      <c r="M6" s="84"/>
      <c r="N6" s="84"/>
      <c r="O6" s="84"/>
      <c r="P6" s="84"/>
      <c r="Q6" s="85"/>
      <c r="R6" s="85"/>
      <c r="S6" s="85"/>
      <c r="T6" s="86">
        <f>SUM(H6:S6)</f>
        <v>0</v>
      </c>
    </row>
    <row r="7" spans="1:22" x14ac:dyDescent="0.2">
      <c r="C7" s="73" t="s">
        <v>16</v>
      </c>
      <c r="H7" s="84">
        <f>-SUMIFS(lv!D:D,lv!$B:$B,"704001")</f>
        <v>0</v>
      </c>
      <c r="I7" s="84">
        <f>-SUMIFS(lv!E:E,lv!$B:$B,"704001")</f>
        <v>0</v>
      </c>
      <c r="J7" s="84">
        <f>-SUMIFS(lv!F:F,lv!$B:$B,"704001")</f>
        <v>0</v>
      </c>
      <c r="K7" s="84">
        <f>-SUMIFS(lv!G:G,lv!$B:$B,"704001")</f>
        <v>0</v>
      </c>
      <c r="L7" s="84">
        <f>-SUMIFS(lv!H:H,lv!$B:$B,"704001")</f>
        <v>0</v>
      </c>
      <c r="M7" s="84">
        <f>-SUMIFS(lv!I:I,lv!$B:$B,"704001")</f>
        <v>0</v>
      </c>
      <c r="N7" s="84">
        <f>-SUMIFS(lv!J:J,lv!$B:$B,"704001")</f>
        <v>0</v>
      </c>
      <c r="O7" s="84">
        <f>-SUMIFS(lv!K:K,lv!$B:$B,"704001")</f>
        <v>0</v>
      </c>
      <c r="P7" s="84">
        <f>-SUMIFS(lv!L:L,lv!$B:$B,"704001")</f>
        <v>0</v>
      </c>
      <c r="Q7" s="85">
        <f>-SUMIFS(lv!M:M,lv!$B:$B,"704001")</f>
        <v>0</v>
      </c>
      <c r="R7" s="85">
        <f>-SUMIFS(lv!N:N,lv!$B:$B,"704001")</f>
        <v>0</v>
      </c>
      <c r="S7" s="85">
        <f>-SUMIFS(lv!O:O,lv!$B:$B,"704001")</f>
        <v>0</v>
      </c>
      <c r="T7" s="86">
        <f t="shared" ref="T7:T11" si="0">SUM(H7:S7)</f>
        <v>0</v>
      </c>
    </row>
    <row r="8" spans="1:22" s="87" customFormat="1" x14ac:dyDescent="0.2">
      <c r="C8" s="87" t="s">
        <v>17</v>
      </c>
      <c r="H8" s="84">
        <f>-SUMIFS(lv!D:D,lv!$B:$B,"705")-SUMIFS(lv!D:D,lv!$B:$B,"707")</f>
        <v>16963333.199999999</v>
      </c>
      <c r="I8" s="84">
        <f>-SUMIFS(lv!E:E,lv!$B:$B,"705")-SUMIFS(lv!E:E,lv!$B:$B,"707")</f>
        <v>11618426.76</v>
      </c>
      <c r="J8" s="84">
        <f>-SUMIFS(lv!F:F,lv!$B:$B,"705")-SUMIFS(lv!F:F,lv!$B:$B,"707")</f>
        <v>17806411.420000002</v>
      </c>
      <c r="K8" s="84">
        <f>-SUMIFS(lv!G:G,lv!$B:$B,"705")-SUMIFS(lv!G:G,lv!$B:$B,"707")</f>
        <v>14113839.710000001</v>
      </c>
      <c r="L8" s="84">
        <f>-SUMIFS(lv!H:H,lv!$B:$B,"705")-SUMIFS(lv!H:H,lv!$B:$B,"707")</f>
        <v>42309601.299999997</v>
      </c>
      <c r="M8" s="84">
        <f>-SUMIFS(lv!I:I,lv!$B:$B,"705")-SUMIFS(lv!I:I,lv!$B:$B,"707")</f>
        <v>17611594.579999998</v>
      </c>
      <c r="N8" s="84">
        <f>-SUMIFS(lv!J:J,lv!$B:$B,"705")-SUMIFS(lv!J:J,lv!$B:$B,"707")</f>
        <v>11858492.76</v>
      </c>
      <c r="O8" s="84">
        <f>-SUMIFS(lv!K:K,lv!$B:$B,"705")-SUMIFS(lv!K:K,lv!$B:$B,"707")</f>
        <v>14081429.859999999</v>
      </c>
      <c r="P8" s="84">
        <f>-SUMIFS(lv!L:L,lv!$B:$B,"705")-SUMIFS(lv!L:L,lv!$B:$B,"707")</f>
        <v>16530970.34</v>
      </c>
      <c r="Q8" s="85">
        <v>15000000</v>
      </c>
      <c r="R8" s="85">
        <v>15000000</v>
      </c>
      <c r="S8" s="85">
        <v>15000000</v>
      </c>
      <c r="T8" s="88">
        <f t="shared" si="0"/>
        <v>207894099.93000001</v>
      </c>
      <c r="V8" s="76">
        <v>2</v>
      </c>
    </row>
    <row r="9" spans="1:22" x14ac:dyDescent="0.2">
      <c r="C9" s="73" t="s">
        <v>47</v>
      </c>
      <c r="H9" s="89"/>
      <c r="I9" s="89"/>
      <c r="J9" s="89"/>
      <c r="K9" s="89"/>
      <c r="L9" s="89"/>
      <c r="M9" s="89"/>
      <c r="N9" s="89"/>
      <c r="O9" s="89"/>
      <c r="P9" s="89"/>
      <c r="Q9" s="90"/>
      <c r="R9" s="90">
        <v>10000000</v>
      </c>
      <c r="S9" s="90">
        <v>5000000</v>
      </c>
      <c r="T9" s="86">
        <f t="shared" si="0"/>
        <v>15000000</v>
      </c>
      <c r="V9" s="76">
        <v>2</v>
      </c>
    </row>
    <row r="10" spans="1:22" x14ac:dyDescent="0.2">
      <c r="C10" s="73" t="s">
        <v>124</v>
      </c>
      <c r="H10" s="89">
        <f>-SUMIFS(lv!D:D,lv!$B:$B,"758")-SUMIFS(lv!D:D,lv!$B:$B,"767")-SUMIFS(lv!D:D,lv!$B:$B,"769")-SUMIFS(lv!D:D,lv!$B:$B,"771")</f>
        <v>6094.88</v>
      </c>
      <c r="I10" s="89">
        <f>-SUMIFS(lv!E:E,lv!$B:$B,"758")-SUMIFS(lv!E:E,lv!$B:$B,"767")-SUMIFS(lv!E:E,lv!$B:$B,"769")-SUMIFS(lv!E:E,lv!$B:$B,"771")</f>
        <v>20018.04</v>
      </c>
      <c r="J10" s="89">
        <f>-SUMIFS(lv!F:F,lv!$B:$B,"758")-SUMIFS(lv!F:F,lv!$B:$B,"767")-SUMIFS(lv!F:F,lv!$B:$B,"769")-SUMIFS(lv!F:F,lv!$B:$B,"771")</f>
        <v>5117.2</v>
      </c>
      <c r="K10" s="89">
        <f>-SUMIFS(lv!G:G,lv!$B:$B,"758")-SUMIFS(lv!G:G,lv!$B:$B,"767")-SUMIFS(lv!G:G,lv!$B:$B,"769")-SUMIFS(lv!G:G,lv!$B:$B,"771")</f>
        <v>8842.23</v>
      </c>
      <c r="L10" s="89">
        <f>-SUMIFS(lv!H:H,lv!$B:$B,"758")-SUMIFS(lv!H:H,lv!$B:$B,"767")-SUMIFS(lv!H:H,lv!$B:$B,"769")-SUMIFS(lv!H:H,lv!$B:$B,"771")</f>
        <v>13566.93</v>
      </c>
      <c r="M10" s="89">
        <f>-SUMIFS(lv!I:I,lv!$B:$B,"758")-SUMIFS(lv!I:I,lv!$B:$B,"767")-SUMIFS(lv!I:I,lv!$B:$B,"769")-SUMIFS(lv!I:I,lv!$B:$B,"771")</f>
        <v>14034.810000000001</v>
      </c>
      <c r="N10" s="89">
        <f>-SUMIFS(lv!J:J,lv!$B:$B,"758")-SUMIFS(lv!J:J,lv!$B:$B,"767")-SUMIFS(lv!J:J,lv!$B:$B,"769")-SUMIFS(lv!J:J,lv!$B:$B,"771")</f>
        <v>11020.41</v>
      </c>
      <c r="O10" s="89">
        <f>-SUMIFS(lv!K:K,lv!$B:$B,"758")-SUMIFS(lv!K:K,lv!$B:$B,"767")-SUMIFS(lv!K:K,lv!$B:$B,"769")-SUMIFS(lv!K:K,lv!$B:$B,"771")</f>
        <v>764.18</v>
      </c>
      <c r="P10" s="89">
        <f>-SUMIFS(lv!L:L,lv!$B:$B,"758")-SUMIFS(lv!L:L,lv!$B:$B,"767")-SUMIFS(lv!L:L,lv!$B:$B,"769")-SUMIFS(lv!L:L,lv!$B:$B,"771")</f>
        <v>3.6</v>
      </c>
      <c r="Q10" s="91">
        <f>-SUMIFS(lv!M:M,lv!$B:$B,"758")-SUMIFS(lv!M:M,lv!$B:$B,"767")-SUMIFS(lv!M:M,lv!$B:$B,"769")</f>
        <v>0</v>
      </c>
      <c r="R10" s="91">
        <f>-SUMIFS(lv!N:N,lv!$B:$B,"758")-SUMIFS(lv!N:N,lv!$B:$B,"767")-SUMIFS(lv!N:N,lv!$B:$B,"769")</f>
        <v>0</v>
      </c>
      <c r="S10" s="91">
        <f>-SUMIFS(lv!O:O,lv!$B:$B,"758")-SUMIFS(lv!O:O,lv!$B:$B,"767")-SUMIFS(lv!O:O,lv!$B:$B,"769")</f>
        <v>0</v>
      </c>
      <c r="T10" s="86">
        <f t="shared" si="0"/>
        <v>79462.280000000013</v>
      </c>
    </row>
    <row r="11" spans="1:22" x14ac:dyDescent="0.2">
      <c r="C11" s="73" t="s">
        <v>126</v>
      </c>
      <c r="H11" s="89">
        <f>-SUMIFS(lv!D:D,lv!$B:$B,"791")</f>
        <v>0</v>
      </c>
      <c r="I11" s="89">
        <f>-SUMIFS(lv!E:E,lv!$B:$B,"791")</f>
        <v>0</v>
      </c>
      <c r="J11" s="89">
        <f>-SUMIFS(lv!F:F,lv!$B:$B,"791")</f>
        <v>0</v>
      </c>
      <c r="K11" s="89">
        <f>-SUMIFS(lv!G:G,lv!$B:$B,"791")</f>
        <v>0</v>
      </c>
      <c r="L11" s="89">
        <f>-SUMIFS(lv!H:H,lv!$B:$B,"791")</f>
        <v>587.5</v>
      </c>
      <c r="M11" s="89">
        <f>-SUMIFS(lv!I:I,lv!$B:$B,"791")</f>
        <v>0</v>
      </c>
      <c r="N11" s="89">
        <f>-SUMIFS(lv!J:J,lv!$B:$B,"791")</f>
        <v>0</v>
      </c>
      <c r="O11" s="89">
        <f>-SUMIFS(lv!K:K,lv!$B:$B,"791")</f>
        <v>0</v>
      </c>
      <c r="P11" s="89">
        <f>-SUMIFS(lv!L:L,lv!$B:$B,"791")</f>
        <v>95337.69</v>
      </c>
      <c r="Q11" s="91">
        <f>-SUMIFS(lv!M:M,lv!$B:$B,"791")</f>
        <v>0</v>
      </c>
      <c r="R11" s="91">
        <f>-SUMIFS(lv!N:N,lv!$B:$B,"791")</f>
        <v>0</v>
      </c>
      <c r="S11" s="91">
        <f>-SUMIFS(lv!O:O,lv!$B:$B,"791")</f>
        <v>0</v>
      </c>
      <c r="T11" s="86">
        <f t="shared" si="0"/>
        <v>95925.19</v>
      </c>
    </row>
    <row r="12" spans="1:22" x14ac:dyDescent="0.2">
      <c r="C12" s="73" t="s">
        <v>123</v>
      </c>
      <c r="H12" s="89">
        <f>-SUMIFS(lv!D:D,lv!$B:$B,"792")</f>
        <v>-7798738.6200000001</v>
      </c>
      <c r="I12" s="89">
        <f>-SUMIFS(lv!E:E,lv!$B:$B,"792")</f>
        <v>-5212038.0999999996</v>
      </c>
      <c r="J12" s="89">
        <f>-SUMIFS(lv!F:F,lv!$B:$B,"792")</f>
        <v>-10398378.23</v>
      </c>
      <c r="K12" s="89">
        <f>-SUMIFS(lv!G:G,lv!$B:$B,"792")</f>
        <v>-7430597.6799999997</v>
      </c>
      <c r="L12" s="89">
        <f>-SUMIFS(lv!H:H,lv!$B:$B,"792")</f>
        <v>-19986890.219999999</v>
      </c>
      <c r="M12" s="89">
        <f>-SUMIFS(lv!I:I,lv!$B:$B,"792")</f>
        <v>-4778381.2699999996</v>
      </c>
      <c r="N12" s="89">
        <f>-SUMIFS(lv!J:J,lv!$B:$B,"792")</f>
        <v>-2724334.79</v>
      </c>
      <c r="O12" s="89">
        <f>-SUMIFS(lv!K:K,lv!$B:$B,"792")</f>
        <v>-6840785.7400000002</v>
      </c>
      <c r="P12" s="89">
        <f>-SUMIFS(lv!L:L,lv!$B:$B,"792")</f>
        <v>-5217996.05</v>
      </c>
      <c r="Q12" s="91">
        <f>-SUMIFS(lv!M:M,lv!$B:$B,"792")-Q8*30%</f>
        <v>-4462678.33</v>
      </c>
      <c r="R12" s="91">
        <f>-SUMIFS(lv!N:N,lv!$B:$B,"792")-R8*30%</f>
        <v>-4500000</v>
      </c>
      <c r="S12" s="91">
        <f>-SUMIFS(lv!O:O,lv!$B:$B,"792")-S8*30%</f>
        <v>-4500000</v>
      </c>
      <c r="T12" s="86">
        <f>SUM(H12:S12)</f>
        <v>-83850819.029999986</v>
      </c>
    </row>
    <row r="13" spans="1:22" x14ac:dyDescent="0.2">
      <c r="B13" s="92"/>
      <c r="C13" s="92"/>
      <c r="D13" s="92"/>
      <c r="E13" s="92"/>
      <c r="F13" s="92"/>
      <c r="G13" s="92"/>
      <c r="H13" s="93"/>
      <c r="I13" s="93"/>
      <c r="J13" s="93"/>
      <c r="K13" s="93"/>
      <c r="L13" s="93"/>
      <c r="M13" s="93"/>
      <c r="N13" s="93"/>
      <c r="O13" s="93"/>
      <c r="P13" s="93"/>
      <c r="Q13" s="93"/>
      <c r="R13" s="93"/>
      <c r="S13" s="93"/>
      <c r="T13" s="94">
        <f>+SUM(H13:S13)</f>
        <v>0</v>
      </c>
    </row>
    <row r="14" spans="1:22" s="79" customFormat="1" x14ac:dyDescent="0.2">
      <c r="B14" s="79" t="s">
        <v>18</v>
      </c>
      <c r="H14" s="95">
        <f>SUM(H6:H13)</f>
        <v>9170689.4599999972</v>
      </c>
      <c r="I14" s="95">
        <f t="shared" ref="I14:S14" si="1">SUM(I6:I13)</f>
        <v>6426406.6999999993</v>
      </c>
      <c r="J14" s="95">
        <f t="shared" si="1"/>
        <v>7413150.3900000006</v>
      </c>
      <c r="K14" s="95">
        <f t="shared" si="1"/>
        <v>6692084.2600000016</v>
      </c>
      <c r="L14" s="95">
        <f t="shared" si="1"/>
        <v>22336865.509999998</v>
      </c>
      <c r="M14" s="95">
        <f t="shared" si="1"/>
        <v>12847248.119999997</v>
      </c>
      <c r="N14" s="95">
        <f t="shared" si="1"/>
        <v>9145178.379999999</v>
      </c>
      <c r="O14" s="95">
        <f t="shared" si="1"/>
        <v>7241408.2999999989</v>
      </c>
      <c r="P14" s="95">
        <f t="shared" si="1"/>
        <v>11408315.579999998</v>
      </c>
      <c r="Q14" s="95">
        <f t="shared" si="1"/>
        <v>10537321.67</v>
      </c>
      <c r="R14" s="95">
        <f t="shared" si="1"/>
        <v>20500000</v>
      </c>
      <c r="S14" s="95">
        <f t="shared" si="1"/>
        <v>15500000</v>
      </c>
      <c r="T14" s="95">
        <f>SUM(T6:T13)</f>
        <v>139218668.37</v>
      </c>
      <c r="U14" s="96"/>
      <c r="V14" s="80"/>
    </row>
    <row r="15" spans="1:22" x14ac:dyDescent="0.2">
      <c r="T15" s="79"/>
    </row>
    <row r="16" spans="1:22" x14ac:dyDescent="0.2">
      <c r="A16" s="97"/>
      <c r="C16" s="98" t="s">
        <v>19</v>
      </c>
      <c r="D16" s="97"/>
      <c r="E16" s="97"/>
      <c r="F16" s="97"/>
      <c r="G16" s="99" t="s">
        <v>46</v>
      </c>
      <c r="H16" s="100"/>
      <c r="I16" s="100"/>
      <c r="J16" s="100"/>
      <c r="K16" s="100"/>
      <c r="L16" s="100"/>
      <c r="M16" s="100"/>
      <c r="N16" s="100"/>
      <c r="O16" s="100"/>
      <c r="P16" s="100"/>
      <c r="Q16" s="100"/>
      <c r="R16" s="100"/>
      <c r="S16" s="100"/>
      <c r="T16" s="86"/>
    </row>
    <row r="17" spans="1:23" s="87" customFormat="1" x14ac:dyDescent="0.2">
      <c r="A17" s="101"/>
      <c r="C17" s="101" t="s">
        <v>31</v>
      </c>
      <c r="D17" s="101"/>
      <c r="E17" s="101"/>
      <c r="F17" s="101"/>
      <c r="G17" s="101"/>
      <c r="H17" s="102">
        <f>-SUMIFS(lv!D:D,lv!$B:$B,"601")-SUMIFS(lv!D:D,lv!$B:$B,"6031001")-SUMIFS(lv!D:D,lv!$B:$B,"6035001")-SUMIFS(lv!D:D,lv!$B:$B,"605")</f>
        <v>-4799876.5990000004</v>
      </c>
      <c r="I17" s="102">
        <f>-SUMIFS(lv!E:E,lv!$B:$B,"601")-SUMIFS(lv!E:E,lv!$B:$B,"6031001")-SUMIFS(lv!E:E,lv!$B:$B,"6035001")-SUMIFS(lv!E:E,lv!$B:$B,"605")</f>
        <v>-3327141.7199999997</v>
      </c>
      <c r="J17" s="102">
        <f>-SUMIFS(lv!F:F,lv!$B:$B,"601")-SUMIFS(lv!F:F,lv!$B:$B,"6031001")-SUMIFS(lv!F:F,lv!$B:$B,"6035001")-SUMIFS(lv!F:F,lv!$B:$B,"605")</f>
        <v>-5310089.6170000006</v>
      </c>
      <c r="K17" s="102">
        <f>-SUMIFS(lv!G:G,lv!$B:$B,"601")-SUMIFS(lv!G:G,lv!$B:$B,"6031001")-SUMIFS(lv!G:G,lv!$B:$B,"6035001")-SUMIFS(lv!G:G,lv!$B:$B,"605")</f>
        <v>-4366435.8250000011</v>
      </c>
      <c r="L17" s="102">
        <f>-SUMIFS(lv!H:H,lv!$B:$B,"601")-SUMIFS(lv!H:H,lv!$B:$B,"6031001")-SUMIFS(lv!H:H,lv!$B:$B,"6035001")-SUMIFS(lv!H:H,lv!$B:$B,"605")</f>
        <v>-14312082.019000001</v>
      </c>
      <c r="M17" s="102">
        <f>-SUMIFS(lv!I:I,lv!$B:$B,"601")-SUMIFS(lv!I:I,lv!$B:$B,"6031001")-SUMIFS(lv!I:I,lv!$B:$B,"6035001")-SUMIFS(lv!I:I,lv!$B:$B,"605")</f>
        <v>-6863850.8339999998</v>
      </c>
      <c r="N17" s="102">
        <f>-SUMIFS(lv!J:J,lv!$B:$B,"601")-SUMIFS(lv!J:J,lv!$B:$B,"6031001")-SUMIFS(lv!J:J,lv!$B:$B,"6035001")-SUMIFS(lv!J:J,lv!$B:$B,"605")</f>
        <v>-4876428.8880000003</v>
      </c>
      <c r="O17" s="102">
        <f>-SUMIFS(lv!K:K,lv!$B:$B,"601")-SUMIFS(lv!K:K,lv!$B:$B,"6031001")-SUMIFS(lv!K:K,lv!$B:$B,"6035001")-SUMIFS(lv!K:K,lv!$B:$B,"605")</f>
        <v>-4299280.9460000005</v>
      </c>
      <c r="P17" s="102">
        <f>-SUMIFS(lv!L:L,lv!$B:$B,"601")-SUMIFS(lv!L:L,lv!$B:$B,"6031001")-SUMIFS(lv!L:L,lv!$B:$B,"6035001")-SUMIFS(lv!L:L,lv!$B:$B,"605")</f>
        <v>-7813925.2960000001</v>
      </c>
      <c r="Q17" s="90">
        <f t="shared" ref="N17:S17" si="2">+Q8*Q18</f>
        <v>-4950000</v>
      </c>
      <c r="R17" s="90">
        <f t="shared" si="2"/>
        <v>-4950000</v>
      </c>
      <c r="S17" s="90">
        <f t="shared" si="2"/>
        <v>-4950000</v>
      </c>
      <c r="T17" s="88">
        <f t="shared" ref="T17:T19" si="3">SUM(H17:S17)</f>
        <v>-70819111.744000003</v>
      </c>
      <c r="V17" s="76"/>
    </row>
    <row r="18" spans="1:23" x14ac:dyDescent="0.2">
      <c r="A18" s="97"/>
      <c r="C18" s="98"/>
      <c r="D18" s="97" t="s">
        <v>48</v>
      </c>
      <c r="E18" s="97"/>
      <c r="F18" s="97"/>
      <c r="G18" s="97"/>
      <c r="H18" s="100">
        <f>+H17/H8</f>
        <v>-0.28295598172887393</v>
      </c>
      <c r="I18" s="100">
        <f t="shared" ref="I18:P18" si="4">+I17/I8</f>
        <v>-0.28636766308625416</v>
      </c>
      <c r="J18" s="100">
        <f t="shared" si="4"/>
        <v>-0.29821222770556427</v>
      </c>
      <c r="K18" s="100">
        <f t="shared" si="4"/>
        <v>-0.30937263811394106</v>
      </c>
      <c r="L18" s="100">
        <f t="shared" si="4"/>
        <v>-0.33827031168454907</v>
      </c>
      <c r="M18" s="100">
        <f t="shared" si="4"/>
        <v>-0.38973477403316426</v>
      </c>
      <c r="N18" s="100">
        <f t="shared" si="4"/>
        <v>-0.41121827087913998</v>
      </c>
      <c r="O18" s="100">
        <f t="shared" si="4"/>
        <v>-0.30531565251144183</v>
      </c>
      <c r="P18" s="100">
        <f t="shared" si="4"/>
        <v>-0.47268400676351346</v>
      </c>
      <c r="Q18" s="100">
        <v>-0.33</v>
      </c>
      <c r="R18" s="100">
        <v>-0.33</v>
      </c>
      <c r="S18" s="100">
        <v>-0.33</v>
      </c>
      <c r="T18" s="86"/>
    </row>
    <row r="19" spans="1:23" x14ac:dyDescent="0.2">
      <c r="A19" s="97"/>
      <c r="C19" s="98" t="s">
        <v>88</v>
      </c>
      <c r="D19" s="97"/>
      <c r="E19" s="97"/>
      <c r="F19" s="97"/>
      <c r="G19" s="97"/>
      <c r="H19" s="102">
        <f>+H9*H20</f>
        <v>0</v>
      </c>
      <c r="I19" s="102">
        <f t="shared" ref="I19:P19" si="5">+I9*I20</f>
        <v>0</v>
      </c>
      <c r="J19" s="102">
        <f t="shared" si="5"/>
        <v>0</v>
      </c>
      <c r="K19" s="102">
        <f t="shared" si="5"/>
        <v>0</v>
      </c>
      <c r="L19" s="102">
        <f t="shared" si="5"/>
        <v>0</v>
      </c>
      <c r="M19" s="102">
        <f t="shared" si="5"/>
        <v>0</v>
      </c>
      <c r="N19" s="102">
        <f t="shared" si="5"/>
        <v>0</v>
      </c>
      <c r="O19" s="102">
        <f t="shared" si="5"/>
        <v>0</v>
      </c>
      <c r="P19" s="102">
        <f t="shared" si="5"/>
        <v>0</v>
      </c>
      <c r="Q19" s="90">
        <f t="shared" ref="O19:S19" si="6">+Q9*Q20</f>
        <v>0</v>
      </c>
      <c r="R19" s="90">
        <f t="shared" si="6"/>
        <v>-8500000</v>
      </c>
      <c r="S19" s="90">
        <f t="shared" si="6"/>
        <v>-4250000</v>
      </c>
      <c r="T19" s="86">
        <f t="shared" si="3"/>
        <v>-12750000</v>
      </c>
      <c r="W19" s="103"/>
    </row>
    <row r="20" spans="1:23" x14ac:dyDescent="0.2">
      <c r="D20" s="73" t="s">
        <v>48</v>
      </c>
      <c r="H20" s="100">
        <v>-0.85</v>
      </c>
      <c r="I20" s="100">
        <v>-0.85</v>
      </c>
      <c r="J20" s="100">
        <v>-0.85</v>
      </c>
      <c r="K20" s="100">
        <v>-0.85</v>
      </c>
      <c r="L20" s="100">
        <v>-0.85</v>
      </c>
      <c r="M20" s="100">
        <v>-0.85</v>
      </c>
      <c r="N20" s="100">
        <v>-0.85</v>
      </c>
      <c r="O20" s="100">
        <v>-0.85</v>
      </c>
      <c r="P20" s="100">
        <v>-0.85</v>
      </c>
      <c r="Q20" s="100">
        <v>-0.85</v>
      </c>
      <c r="R20" s="100">
        <v>-0.85</v>
      </c>
      <c r="S20" s="100">
        <v>-0.85</v>
      </c>
      <c r="T20" s="95"/>
    </row>
    <row r="21" spans="1:23" x14ac:dyDescent="0.2">
      <c r="H21" s="100"/>
      <c r="I21" s="100"/>
      <c r="J21" s="100"/>
      <c r="K21" s="100"/>
      <c r="L21" s="100"/>
      <c r="M21" s="100"/>
      <c r="N21" s="100"/>
      <c r="O21" s="100"/>
      <c r="P21" s="100"/>
      <c r="Q21" s="100"/>
      <c r="R21" s="100"/>
      <c r="S21" s="100"/>
      <c r="T21" s="95"/>
    </row>
    <row r="22" spans="1:23" x14ac:dyDescent="0.2">
      <c r="A22" s="97"/>
      <c r="B22" s="95" t="s">
        <v>20</v>
      </c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  <c r="R22" s="97"/>
      <c r="S22" s="97"/>
      <c r="T22" s="86"/>
    </row>
    <row r="23" spans="1:23" x14ac:dyDescent="0.2">
      <c r="R23" s="97"/>
      <c r="S23" s="97"/>
      <c r="T23" s="95"/>
    </row>
    <row r="24" spans="1:23" s="87" customFormat="1" x14ac:dyDescent="0.2">
      <c r="C24" s="87" t="s">
        <v>21</v>
      </c>
      <c r="E24" s="104"/>
      <c r="F24" s="104"/>
      <c r="G24" s="104"/>
      <c r="H24" s="102">
        <f>-SUMIFS(lv!D:D,lv!$B:$B,"604")</f>
        <v>-84949.119999999995</v>
      </c>
      <c r="I24" s="102">
        <f>-SUMIFS(lv!E:E,lv!$B:$B,"604")</f>
        <v>-80234.25</v>
      </c>
      <c r="J24" s="102">
        <f>-SUMIFS(lv!F:F,lv!$B:$B,"604")</f>
        <v>-55984.97</v>
      </c>
      <c r="K24" s="102">
        <f>-SUMIFS(lv!G:G,lv!$B:$B,"604")</f>
        <v>-76575.63</v>
      </c>
      <c r="L24" s="102">
        <f>-SUMIFS(lv!H:H,lv!$B:$B,"604")</f>
        <v>-78365.119999999995</v>
      </c>
      <c r="M24" s="102">
        <f>-SUMIFS(lv!I:I,lv!$B:$B,"604")</f>
        <v>-65144.800000000003</v>
      </c>
      <c r="N24" s="102">
        <f>-SUMIFS(lv!J:J,lv!$B:$B,"604")</f>
        <v>-96647.6</v>
      </c>
      <c r="O24" s="102">
        <f>-SUMIFS(lv!K:K,lv!$B:$B,"604")</f>
        <v>-87704.62</v>
      </c>
      <c r="P24" s="102">
        <f>-SUMIFS(lv!L:L,lv!$B:$B,"604")</f>
        <v>-93522</v>
      </c>
      <c r="Q24" s="90">
        <v>-100000</v>
      </c>
      <c r="R24" s="90">
        <v>-100000</v>
      </c>
      <c r="S24" s="90">
        <v>-100000</v>
      </c>
      <c r="T24" s="88">
        <f t="shared" ref="T24:T54" si="7">SUM(H24:S24)</f>
        <v>-1019128.11</v>
      </c>
      <c r="V24" s="76">
        <v>2</v>
      </c>
    </row>
    <row r="25" spans="1:23" x14ac:dyDescent="0.2">
      <c r="C25" s="105" t="s">
        <v>32</v>
      </c>
      <c r="D25" s="105"/>
      <c r="E25" s="79"/>
      <c r="F25" s="79"/>
      <c r="G25" s="79"/>
      <c r="H25" s="102">
        <f>-SUMIFS(lv!D:D,lv!$B:$B,"6060001")-SUMIFS(lv!D:D,lv!$B:$B,"608")</f>
        <v>-1537.5</v>
      </c>
      <c r="I25" s="102">
        <f>-SUMIFS(lv!E:E,lv!$B:$B,"6060001")-SUMIFS(lv!E:E,lv!$B:$B,"608")</f>
        <v>-12276.42</v>
      </c>
      <c r="J25" s="102">
        <f>-SUMIFS(lv!F:F,lv!$B:$B,"6060001")-SUMIFS(lv!F:F,lv!$B:$B,"608")</f>
        <v>-342242.08</v>
      </c>
      <c r="K25" s="102">
        <f>-SUMIFS(lv!G:G,lv!$B:$B,"6060001")-SUMIFS(lv!G:G,lv!$B:$B,"608")</f>
        <v>-314138.13</v>
      </c>
      <c r="L25" s="102">
        <f>-SUMIFS(lv!H:H,lv!$B:$B,"6060001")-SUMIFS(lv!H:H,lv!$B:$B,"608")</f>
        <v>-6833.3099999999995</v>
      </c>
      <c r="M25" s="102">
        <f>-SUMIFS(lv!I:I,lv!$B:$B,"6060001")-SUMIFS(lv!I:I,lv!$B:$B,"608")</f>
        <v>-49033.141600000003</v>
      </c>
      <c r="N25" s="102">
        <f>-SUMIFS(lv!J:J,lv!$B:$B,"6060001")-SUMIFS(lv!J:J,lv!$B:$B,"608")</f>
        <v>-196349.18</v>
      </c>
      <c r="O25" s="102">
        <f>-SUMIFS(lv!K:K,lv!$B:$B,"6060001")-SUMIFS(lv!K:K,lv!$B:$B,"608")</f>
        <v>-177665.83</v>
      </c>
      <c r="P25" s="102">
        <f>-SUMIFS(lv!L:L,lv!$B:$B,"6060001")-SUMIFS(lv!L:L,lv!$B:$B,"608")</f>
        <v>-15038.01</v>
      </c>
      <c r="Q25" s="90">
        <v>-25000</v>
      </c>
      <c r="R25" s="90">
        <v>-25000</v>
      </c>
      <c r="S25" s="90">
        <v>-25000</v>
      </c>
      <c r="T25" s="88">
        <f t="shared" si="7"/>
        <v>-1190113.6016000002</v>
      </c>
      <c r="V25" s="76">
        <v>2</v>
      </c>
    </row>
    <row r="26" spans="1:23" s="87" customFormat="1" x14ac:dyDescent="0.2">
      <c r="C26" s="87" t="s">
        <v>198</v>
      </c>
      <c r="E26" s="104"/>
      <c r="F26" s="104"/>
      <c r="G26" s="104"/>
      <c r="H26" s="102">
        <f>-SUMIFS(lv!D:D,lv!$B:$B,"6110001")-SUMIFS(lv!D:D,lv!$B:$B,"6110009")-SUMIFS(lv!D:D,lv!$B:$B,"6110010")</f>
        <v>-465233.625</v>
      </c>
      <c r="I26" s="102">
        <f>-SUMIFS(lv!E:E,lv!$B:$B,"6110001")-SUMIFS(lv!E:E,lv!$B:$B,"6110009")-SUMIFS(lv!E:E,lv!$B:$B,"6110010")</f>
        <v>-501355.75</v>
      </c>
      <c r="J26" s="102">
        <f>-SUMIFS(lv!F:F,lv!$B:$B,"6110001")-SUMIFS(lv!F:F,lv!$B:$B,"6110009")-SUMIFS(lv!F:F,lv!$B:$B,"6110010")</f>
        <v>-474993.75</v>
      </c>
      <c r="K26" s="102">
        <f>-SUMIFS(lv!G:G,lv!$B:$B,"6110001")-SUMIFS(lv!G:G,lv!$B:$B,"6110009")-SUMIFS(lv!G:G,lv!$B:$B,"6110010")</f>
        <v>-563534.88710000005</v>
      </c>
      <c r="L26" s="102">
        <f>-SUMIFS(lv!H:H,lv!$B:$B,"6110001")-SUMIFS(lv!H:H,lv!$B:$B,"6110009")-SUMIFS(lv!H:H,lv!$B:$B,"6110010")</f>
        <v>-444014.5</v>
      </c>
      <c r="M26" s="102">
        <f>-SUMIFS(lv!I:I,lv!$B:$B,"6110001")-SUMIFS(lv!I:I,lv!$B:$B,"6110009")-SUMIFS(lv!I:I,lv!$B:$B,"6110010")</f>
        <v>-463385.5</v>
      </c>
      <c r="N26" s="102">
        <f>-SUMIFS(lv!J:J,lv!$B:$B,"6110001")-SUMIFS(lv!J:J,lv!$B:$B,"6110009")-SUMIFS(lv!J:J,lv!$B:$B,"6110010")</f>
        <v>-469162.565</v>
      </c>
      <c r="O26" s="102">
        <f>-SUMIFS(lv!K:K,lv!$B:$B,"6110001")-SUMIFS(lv!K:K,lv!$B:$B,"6110009")-SUMIFS(lv!K:K,lv!$B:$B,"6110010")</f>
        <v>-451224.5</v>
      </c>
      <c r="P26" s="102">
        <f>-SUMIFS(lv!L:L,lv!$B:$B,"6110001")-SUMIFS(lv!L:L,lv!$B:$B,"6110009")-SUMIFS(lv!L:L,lv!$B:$B,"6110010")</f>
        <v>-456967.25</v>
      </c>
      <c r="Q26" s="90">
        <f t="shared" ref="N26:S26" si="8">-3088*135</f>
        <v>-416880</v>
      </c>
      <c r="R26" s="90">
        <f t="shared" si="8"/>
        <v>-416880</v>
      </c>
      <c r="S26" s="90">
        <f t="shared" si="8"/>
        <v>-416880</v>
      </c>
      <c r="T26" s="88">
        <f t="shared" si="7"/>
        <v>-5540512.3270999994</v>
      </c>
      <c r="V26" s="76">
        <v>2</v>
      </c>
    </row>
    <row r="27" spans="1:23" s="87" customFormat="1" x14ac:dyDescent="0.2">
      <c r="C27" s="87" t="s">
        <v>167</v>
      </c>
      <c r="E27" s="104"/>
      <c r="F27" s="104"/>
      <c r="G27" s="104"/>
      <c r="H27" s="102">
        <f>-SUMIFS(lv!D:D,lv!$B:$B,"6110004")</f>
        <v>-115037.05989999999</v>
      </c>
      <c r="I27" s="102">
        <f>-SUMIFS(lv!E:E,lv!$B:$B,"6110004")</f>
        <v>-115911.705</v>
      </c>
      <c r="J27" s="102">
        <f>-SUMIFS(lv!F:F,lv!$B:$B,"6110004")</f>
        <v>-115485.75999999999</v>
      </c>
      <c r="K27" s="102">
        <f>-SUMIFS(lv!G:G,lv!$B:$B,"6110004")</f>
        <v>0</v>
      </c>
      <c r="L27" s="102">
        <f>-SUMIFS(lv!H:H,lv!$B:$B,"6110004")</f>
        <v>-114662.0748</v>
      </c>
      <c r="M27" s="102">
        <f>-SUMIFS(lv!I:I,lv!$B:$B,"6110004")</f>
        <v>-113889.3392</v>
      </c>
      <c r="N27" s="102">
        <f>-SUMIFS(lv!J:J,lv!$B:$B,"6110004")</f>
        <v>-112591.4503</v>
      </c>
      <c r="O27" s="102">
        <f>-SUMIFS(lv!K:K,lv!$B:$B,"6110004")</f>
        <v>-112735.8092</v>
      </c>
      <c r="P27" s="102">
        <f>-SUMIFS(lv!L:L,lv!$B:$B,"6110004")</f>
        <v>-113362.86</v>
      </c>
      <c r="Q27" s="90">
        <f t="shared" ref="N27:S27" si="9">-850*135</f>
        <v>-114750</v>
      </c>
      <c r="R27" s="90">
        <f t="shared" si="9"/>
        <v>-114750</v>
      </c>
      <c r="S27" s="90">
        <f t="shared" si="9"/>
        <v>-114750</v>
      </c>
      <c r="T27" s="88">
        <f t="shared" si="7"/>
        <v>-1257926.0584</v>
      </c>
      <c r="V27" s="76"/>
    </row>
    <row r="28" spans="1:23" s="87" customFormat="1" x14ac:dyDescent="0.2">
      <c r="C28" s="87" t="s">
        <v>208</v>
      </c>
      <c r="E28" s="104"/>
      <c r="F28" s="104"/>
      <c r="G28" s="104"/>
      <c r="H28" s="102">
        <f>-SUMIFS(lv!D:D,lv!$B:$B,"6110011")</f>
        <v>-135580</v>
      </c>
      <c r="I28" s="102">
        <f>-SUMIFS(lv!E:E,lv!$B:$B,"6110011")</f>
        <v>-136500</v>
      </c>
      <c r="J28" s="102">
        <f>-SUMIFS(lv!F:F,lv!$B:$B,"6110011")</f>
        <v>-135070</v>
      </c>
      <c r="K28" s="102">
        <f>-SUMIFS(lv!G:G,lv!$B:$B,"6110011")</f>
        <v>-135860</v>
      </c>
      <c r="L28" s="102">
        <f>-SUMIFS(lv!H:H,lv!$B:$B,"6110011")</f>
        <v>-134880</v>
      </c>
      <c r="M28" s="102">
        <f>-SUMIFS(lv!I:I,lv!$B:$B,"6110011")</f>
        <v>-134120</v>
      </c>
      <c r="N28" s="102">
        <f>-SUMIFS(lv!J:J,lv!$B:$B,"6110011")</f>
        <v>-132620</v>
      </c>
      <c r="O28" s="102">
        <f>-SUMIFS(lv!K:K,lv!$B:$B,"6110011")</f>
        <v>-132760</v>
      </c>
      <c r="P28" s="102">
        <f>-SUMIFS(lv!L:L,lv!$B:$B,"6110011")</f>
        <v>-133440</v>
      </c>
      <c r="Q28" s="90">
        <f t="shared" ref="N28:S28" si="10">-1000*135</f>
        <v>-135000</v>
      </c>
      <c r="R28" s="90">
        <f t="shared" si="10"/>
        <v>-135000</v>
      </c>
      <c r="S28" s="90">
        <f t="shared" si="10"/>
        <v>-135000</v>
      </c>
      <c r="T28" s="88">
        <f t="shared" si="7"/>
        <v>-1615830</v>
      </c>
      <c r="V28" s="76"/>
    </row>
    <row r="29" spans="1:23" x14ac:dyDescent="0.2">
      <c r="C29" s="105" t="s">
        <v>134</v>
      </c>
      <c r="D29" s="105"/>
      <c r="E29" s="79"/>
      <c r="F29" s="79"/>
      <c r="G29" s="79"/>
      <c r="H29" s="102">
        <f>-SUMIFS(lv!D:D,lv!$B:$B,"6110002")-SUMIFS(lv!D:D,lv!$B:$B,"6110003")-SUMIFS(lv!D:D,lv!$B:$B,"6110006")-SUMIFS(lv!D:D,lv!$B:$B,"6110007")-SUMIFS(lv!D:D,lv!$B:$B,"6110012")-SUMIFS(lv!D:D,lv!$B:$B,"6110013")</f>
        <v>0</v>
      </c>
      <c r="I29" s="102">
        <f>-SUMIFS(lv!E:E,lv!$B:$B,"6110002")-SUMIFS(lv!E:E,lv!$B:$B,"6110003")-SUMIFS(lv!E:E,lv!$B:$B,"6110006")-SUMIFS(lv!E:E,lv!$B:$B,"6110007")-SUMIFS(lv!E:E,lv!$B:$B,"6110012")-SUMIFS(lv!E:E,lv!$B:$B,"6110013")</f>
        <v>-14500</v>
      </c>
      <c r="J29" s="102">
        <f>-SUMIFS(lv!F:F,lv!$B:$B,"6110002")-SUMIFS(lv!F:F,lv!$B:$B,"6110003")-SUMIFS(lv!F:F,lv!$B:$B,"6110006")-SUMIFS(lv!F:F,lv!$B:$B,"6110007")-SUMIFS(lv!F:F,lv!$B:$B,"6110012")-SUMIFS(lv!F:F,lv!$B:$B,"6110013")</f>
        <v>-33500</v>
      </c>
      <c r="K29" s="102">
        <f>-SUMIFS(lv!G:G,lv!$B:$B,"6110002")-SUMIFS(lv!G:G,lv!$B:$B,"6110003")-SUMIFS(lv!G:G,lv!$B:$B,"6110006")-SUMIFS(lv!G:G,lv!$B:$B,"6110007")-SUMIFS(lv!G:G,lv!$B:$B,"6110012")-SUMIFS(lv!G:G,lv!$B:$B,"6110013")</f>
        <v>-170000</v>
      </c>
      <c r="L29" s="102">
        <f>-SUMIFS(lv!H:H,lv!$B:$B,"6110002")-SUMIFS(lv!H:H,lv!$B:$B,"6110003")-SUMIFS(lv!H:H,lv!$B:$B,"6110006")-SUMIFS(lv!H:H,lv!$B:$B,"6110007")-SUMIFS(lv!H:H,lv!$B:$B,"6110012")-SUMIFS(lv!H:H,lv!$B:$B,"6110013")</f>
        <v>-53500</v>
      </c>
      <c r="M29" s="102">
        <f>-SUMIFS(lv!I:I,lv!$B:$B,"6110002")-SUMIFS(lv!I:I,lv!$B:$B,"6110003")-SUMIFS(lv!I:I,lv!$B:$B,"6110006")-SUMIFS(lv!I:I,lv!$B:$B,"6110007")-SUMIFS(lv!I:I,lv!$B:$B,"6110012")-SUMIFS(lv!I:I,lv!$B:$B,"6110013")</f>
        <v>-47700</v>
      </c>
      <c r="N29" s="102">
        <f>-SUMIFS(lv!J:J,lv!$B:$B,"6110002")-SUMIFS(lv!J:J,lv!$B:$B,"6110003")-SUMIFS(lv!J:J,lv!$B:$B,"6110006")-SUMIFS(lv!J:J,lv!$B:$B,"6110007")-SUMIFS(lv!J:J,lv!$B:$B,"6110012")-SUMIFS(lv!J:J,lv!$B:$B,"6110013")</f>
        <v>-5000</v>
      </c>
      <c r="O29" s="102">
        <f>-SUMIFS(lv!K:K,lv!$B:$B,"6110002")-SUMIFS(lv!K:K,lv!$B:$B,"6110003")-SUMIFS(lv!K:K,lv!$B:$B,"6110006")-SUMIFS(lv!K:K,lv!$B:$B,"6110007")-SUMIFS(lv!K:K,lv!$B:$B,"6110012")-SUMIFS(lv!K:K,lv!$B:$B,"6110013")</f>
        <v>0</v>
      </c>
      <c r="P29" s="102">
        <f>-SUMIFS(lv!L:L,lv!$B:$B,"6110002")-SUMIFS(lv!L:L,lv!$B:$B,"6110003")-SUMIFS(lv!L:L,lv!$B:$B,"6110006")-SUMIFS(lv!L:L,lv!$B:$B,"6110007")-SUMIFS(lv!L:L,lv!$B:$B,"6110012")-SUMIFS(lv!L:L,lv!$B:$B,"6110013")</f>
        <v>-21500</v>
      </c>
      <c r="Q29" s="90">
        <v>-20000</v>
      </c>
      <c r="R29" s="90">
        <v>-20000</v>
      </c>
      <c r="S29" s="90">
        <v>-20000</v>
      </c>
      <c r="T29" s="88">
        <f t="shared" si="7"/>
        <v>-405700</v>
      </c>
      <c r="V29" s="76">
        <v>2</v>
      </c>
    </row>
    <row r="30" spans="1:23" s="87" customFormat="1" x14ac:dyDescent="0.2">
      <c r="C30" s="87" t="s">
        <v>127</v>
      </c>
      <c r="E30" s="104"/>
      <c r="F30" s="104"/>
      <c r="G30" s="104"/>
      <c r="H30" s="102"/>
      <c r="I30" s="102"/>
      <c r="J30" s="102"/>
      <c r="K30" s="102"/>
      <c r="L30" s="102"/>
      <c r="M30" s="102"/>
      <c r="N30" s="102"/>
      <c r="O30" s="102"/>
      <c r="P30" s="102"/>
      <c r="Q30" s="90">
        <f t="shared" ref="N30:S30" si="11">-333*135</f>
        <v>-44955</v>
      </c>
      <c r="R30" s="90">
        <f t="shared" si="11"/>
        <v>-44955</v>
      </c>
      <c r="S30" s="90">
        <f t="shared" si="11"/>
        <v>-44955</v>
      </c>
      <c r="T30" s="88">
        <f t="shared" si="7"/>
        <v>-134865</v>
      </c>
      <c r="V30" s="76">
        <v>2</v>
      </c>
    </row>
    <row r="31" spans="1:23" s="87" customFormat="1" x14ac:dyDescent="0.2">
      <c r="C31" s="87" t="s">
        <v>164</v>
      </c>
      <c r="E31" s="104"/>
      <c r="F31" s="104"/>
      <c r="G31" s="104"/>
      <c r="H31" s="102">
        <f>-SUMIFS(lv!D:D,lv!$B:$B,"613")</f>
        <v>-1038793.903</v>
      </c>
      <c r="I31" s="102">
        <f>-SUMIFS(lv!E:E,lv!$B:$B,"613")</f>
        <v>-1113783.865</v>
      </c>
      <c r="J31" s="102">
        <f>-SUMIFS(lv!F:F,lv!$B:$B,"613")</f>
        <v>-1038088.33</v>
      </c>
      <c r="K31" s="102">
        <f>-SUMIFS(lv!G:G,lv!$B:$B,"613")</f>
        <v>-1042112.809</v>
      </c>
      <c r="L31" s="102">
        <f>-SUMIFS(lv!H:H,lv!$B:$B,"613")</f>
        <v>-1034318.6</v>
      </c>
      <c r="M31" s="102">
        <f>-SUMIFS(lv!I:I,lv!$B:$B,"613")</f>
        <v>-1028155.124</v>
      </c>
      <c r="N31" s="102">
        <f>-SUMIFS(lv!J:J,lv!$B:$B,"613")</f>
        <v>-1016575.345</v>
      </c>
      <c r="O31" s="102">
        <f>-SUMIFS(lv!K:K,lv!$B:$B,"613")</f>
        <v>-1017520.059</v>
      </c>
      <c r="P31" s="102">
        <f>-SUMIFS(lv!L:L,lv!$B:$B,"613")</f>
        <v>-1022674.16</v>
      </c>
      <c r="Q31" s="90">
        <f t="shared" ref="N31:S31" si="12">-2832*135</f>
        <v>-382320</v>
      </c>
      <c r="R31" s="90">
        <f t="shared" si="12"/>
        <v>-382320</v>
      </c>
      <c r="S31" s="90">
        <f t="shared" si="12"/>
        <v>-382320</v>
      </c>
      <c r="T31" s="88">
        <f t="shared" si="7"/>
        <v>-10498982.195</v>
      </c>
      <c r="V31" s="76"/>
    </row>
    <row r="32" spans="1:23" s="87" customFormat="1" x14ac:dyDescent="0.2">
      <c r="C32" s="87" t="s">
        <v>199</v>
      </c>
      <c r="E32" s="104"/>
      <c r="F32" s="104"/>
      <c r="G32" s="104"/>
      <c r="H32" s="102"/>
      <c r="I32" s="102"/>
      <c r="J32" s="102"/>
      <c r="K32" s="102"/>
      <c r="L32" s="102"/>
      <c r="M32" s="102"/>
      <c r="N32" s="102"/>
      <c r="O32" s="102"/>
      <c r="P32" s="102"/>
      <c r="Q32" s="90">
        <f t="shared" ref="N32:S32" si="13">-4500*135</f>
        <v>-607500</v>
      </c>
      <c r="R32" s="90">
        <f t="shared" si="13"/>
        <v>-607500</v>
      </c>
      <c r="S32" s="90">
        <f t="shared" si="13"/>
        <v>-607500</v>
      </c>
      <c r="T32" s="88">
        <f t="shared" si="7"/>
        <v>-1822500</v>
      </c>
      <c r="V32" s="76"/>
    </row>
    <row r="33" spans="1:22" x14ac:dyDescent="0.2">
      <c r="C33" s="105" t="s">
        <v>22</v>
      </c>
      <c r="D33" s="105"/>
      <c r="E33" s="79"/>
      <c r="F33" s="79"/>
      <c r="G33" s="79"/>
      <c r="H33" s="102">
        <f>-SUMIFS(lv!D:D,lv!$B:$B,"615")</f>
        <v>0</v>
      </c>
      <c r="I33" s="102">
        <f>-SUMIFS(lv!E:E,lv!$B:$B,"615")</f>
        <v>0</v>
      </c>
      <c r="J33" s="102">
        <f>-SUMIFS(lv!F:F,lv!$B:$B,"615")</f>
        <v>0</v>
      </c>
      <c r="K33" s="102">
        <f>-SUMIFS(lv!G:G,lv!$B:$B,"615")</f>
        <v>-123250</v>
      </c>
      <c r="L33" s="102">
        <f>-SUMIFS(lv!H:H,lv!$B:$B,"615")</f>
        <v>0</v>
      </c>
      <c r="M33" s="102">
        <f>-SUMIFS(lv!I:I,lv!$B:$B,"615")</f>
        <v>0</v>
      </c>
      <c r="N33" s="102">
        <f>-SUMIFS(lv!J:J,lv!$B:$B,"615")</f>
        <v>0</v>
      </c>
      <c r="O33" s="102">
        <f>-SUMIFS(lv!K:K,lv!$B:$B,"615")</f>
        <v>0</v>
      </c>
      <c r="P33" s="102">
        <f>-SUMIFS(lv!L:L,lv!$B:$B,"615")</f>
        <v>0</v>
      </c>
      <c r="Q33" s="90"/>
      <c r="R33" s="90"/>
      <c r="S33" s="90"/>
      <c r="T33" s="88">
        <f t="shared" si="7"/>
        <v>-123250</v>
      </c>
    </row>
    <row r="34" spans="1:22" x14ac:dyDescent="0.2">
      <c r="C34" s="105" t="s">
        <v>26</v>
      </c>
      <c r="D34" s="105"/>
      <c r="E34" s="79"/>
      <c r="F34" s="79"/>
      <c r="G34" s="79"/>
      <c r="H34" s="102">
        <f>-SUMIFS(lv!D:D,lv!$B:$B,"616")</f>
        <v>0</v>
      </c>
      <c r="I34" s="102">
        <f>-SUMIFS(lv!E:E,lv!$B:$B,"616")</f>
        <v>-18705</v>
      </c>
      <c r="J34" s="102">
        <f>-SUMIFS(lv!F:F,lv!$B:$B,"616")</f>
        <v>0</v>
      </c>
      <c r="K34" s="102">
        <f>-SUMIFS(lv!G:G,lv!$B:$B,"616")</f>
        <v>-11380</v>
      </c>
      <c r="L34" s="102">
        <f>-SUMIFS(lv!H:H,lv!$B:$B,"616")</f>
        <v>0</v>
      </c>
      <c r="M34" s="102">
        <f>-SUMIFS(lv!I:I,lv!$B:$B,"616")</f>
        <v>0</v>
      </c>
      <c r="N34" s="102">
        <f>-SUMIFS(lv!J:J,lv!$B:$B,"616")</f>
        <v>0</v>
      </c>
      <c r="O34" s="102">
        <f>-SUMIFS(lv!K:K,lv!$B:$B,"616")</f>
        <v>0</v>
      </c>
      <c r="P34" s="102">
        <f>-SUMIFS(lv!L:L,lv!$B:$B,"616")</f>
        <v>-127759.5</v>
      </c>
      <c r="Q34" s="90"/>
      <c r="R34" s="90"/>
      <c r="S34" s="90"/>
      <c r="T34" s="88">
        <f t="shared" si="7"/>
        <v>-157844.5</v>
      </c>
    </row>
    <row r="35" spans="1:22" x14ac:dyDescent="0.2">
      <c r="C35" s="105" t="s">
        <v>89</v>
      </c>
      <c r="D35" s="105"/>
      <c r="E35" s="79"/>
      <c r="F35" s="79"/>
      <c r="G35" s="79"/>
      <c r="H35" s="102">
        <f>-SUMIFS(lv!D:D,lv!$B:$B,"618")</f>
        <v>-175250</v>
      </c>
      <c r="I35" s="102">
        <f>-SUMIFS(lv!E:E,lv!$B:$B,"618")</f>
        <v>0</v>
      </c>
      <c r="J35" s="102">
        <f>-SUMIFS(lv!F:F,lv!$B:$B,"618")</f>
        <v>-9247.5</v>
      </c>
      <c r="K35" s="102">
        <f>-SUMIFS(lv!G:G,lv!$B:$B,"618")</f>
        <v>-39400</v>
      </c>
      <c r="L35" s="102">
        <f>-SUMIFS(lv!H:H,lv!$B:$B,"618")</f>
        <v>-21500</v>
      </c>
      <c r="M35" s="102">
        <f>-SUMIFS(lv!I:I,lv!$B:$B,"618")</f>
        <v>-2400</v>
      </c>
      <c r="N35" s="102">
        <f>-SUMIFS(lv!J:J,lv!$B:$B,"618")</f>
        <v>-38780</v>
      </c>
      <c r="O35" s="102">
        <f>-SUMIFS(lv!K:K,lv!$B:$B,"618")</f>
        <v>-39300</v>
      </c>
      <c r="P35" s="102">
        <f>-SUMIFS(lv!L:L,lv!$B:$B,"618")</f>
        <v>-10800</v>
      </c>
      <c r="Q35" s="90">
        <v>-10000</v>
      </c>
      <c r="R35" s="90">
        <v>-10000</v>
      </c>
      <c r="S35" s="90">
        <v>-10000</v>
      </c>
      <c r="T35" s="88">
        <f t="shared" si="7"/>
        <v>-366677.5</v>
      </c>
      <c r="V35" s="76">
        <v>2</v>
      </c>
    </row>
    <row r="36" spans="1:22" s="87" customFormat="1" x14ac:dyDescent="0.2">
      <c r="C36" s="87" t="s">
        <v>90</v>
      </c>
      <c r="E36" s="104"/>
      <c r="F36" s="104"/>
      <c r="G36" s="104"/>
      <c r="H36" s="102">
        <f>-SUMIFS(lv!D:D,lv!$B:$B,"6240011")-SUMIFS(lv!D:D,lv!$B:$B,"62400011")</f>
        <v>0</v>
      </c>
      <c r="I36" s="102">
        <f>-SUMIFS(lv!E:E,lv!$B:$B,"6240011")-SUMIFS(lv!E:E,lv!$B:$B,"62400011")</f>
        <v>0</v>
      </c>
      <c r="J36" s="102">
        <f>-SUMIFS(lv!F:F,lv!$B:$B,"6240011")-SUMIFS(lv!F:F,lv!$B:$B,"62400011")</f>
        <v>0</v>
      </c>
      <c r="K36" s="102">
        <f>-SUMIFS(lv!G:G,lv!$B:$B,"6240011")-SUMIFS(lv!G:G,lv!$B:$B,"62400011")</f>
        <v>0</v>
      </c>
      <c r="L36" s="102">
        <f>-SUMIFS(lv!H:H,lv!$B:$B,"6240011")-SUMIFS(lv!H:H,lv!$B:$B,"62400011")</f>
        <v>0</v>
      </c>
      <c r="M36" s="102">
        <f>-SUMIFS(lv!I:I,lv!$B:$B,"6240011")-SUMIFS(lv!I:I,lv!$B:$B,"62400011")</f>
        <v>0</v>
      </c>
      <c r="N36" s="102">
        <f>-SUMIFS(lv!J:J,lv!$B:$B,"6240011")-SUMIFS(lv!J:J,lv!$B:$B,"62400011")</f>
        <v>0</v>
      </c>
      <c r="O36" s="102">
        <f>-SUMIFS(lv!K:K,lv!$B:$B,"6240011")-SUMIFS(lv!K:K,lv!$B:$B,"62400011")</f>
        <v>0</v>
      </c>
      <c r="P36" s="102">
        <f>-SUMIFS(lv!L:L,lv!$B:$B,"6240011")-SUMIFS(lv!L:L,lv!$B:$B,"62400011")</f>
        <v>0</v>
      </c>
      <c r="Q36" s="90">
        <v>-8200</v>
      </c>
      <c r="R36" s="90">
        <v>-8200</v>
      </c>
      <c r="S36" s="90">
        <v>-8200</v>
      </c>
      <c r="T36" s="88">
        <f t="shared" si="7"/>
        <v>-24600</v>
      </c>
      <c r="V36" s="76"/>
    </row>
    <row r="37" spans="1:22" s="87" customFormat="1" x14ac:dyDescent="0.2">
      <c r="C37" s="87" t="s">
        <v>214</v>
      </c>
      <c r="E37" s="104"/>
      <c r="F37" s="104"/>
      <c r="G37" s="104"/>
      <c r="H37" s="102">
        <f>-SUMIFS(lv!D:D,lv!$B:$B,"6240002")-SUMIFS(lv!D:D,lv!$B:$B,"6240003")</f>
        <v>-171310.2</v>
      </c>
      <c r="I37" s="102">
        <f>-SUMIFS(lv!E:E,lv!$B:$B,"6240002")-SUMIFS(lv!E:E,lv!$B:$B,"6240003")</f>
        <v>-90090</v>
      </c>
      <c r="J37" s="102">
        <f>-SUMIFS(lv!F:F,lv!$B:$B,"6240002")-SUMIFS(lv!F:F,lv!$B:$B,"6240003")</f>
        <v>-170388</v>
      </c>
      <c r="K37" s="102">
        <f>-SUMIFS(lv!G:G,lv!$B:$B,"6240002")-SUMIFS(lv!G:G,lv!$B:$B,"6240003")</f>
        <v>-89683.8</v>
      </c>
      <c r="L37" s="102">
        <f>-SUMIFS(lv!H:H,lv!$B:$B,"6240002")-SUMIFS(lv!H:H,lv!$B:$B,"6240003")</f>
        <v>-75540</v>
      </c>
      <c r="M37" s="102">
        <f>-SUMIFS(lv!I:I,lv!$B:$B,"6240002")-SUMIFS(lv!I:I,lv!$B:$B,"6240003")</f>
        <v>-88519.2</v>
      </c>
      <c r="N37" s="102">
        <f>-SUMIFS(lv!J:J,lv!$B:$B,"6240002")-SUMIFS(lv!J:J,lv!$B:$B,"6240003")</f>
        <v>-87528</v>
      </c>
      <c r="O37" s="102">
        <f>-SUMIFS(lv!K:K,lv!$B:$B,"6240002")-SUMIFS(lv!K:K,lv!$B:$B,"6240003")</f>
        <v>-87621.6</v>
      </c>
      <c r="P37" s="102">
        <f>-SUMIFS(lv!L:L,lv!$B:$B,"6240002")-SUMIFS(lv!L:L,lv!$B:$B,"6240003")</f>
        <v>-88074</v>
      </c>
      <c r="Q37" s="90">
        <f t="shared" ref="N37:S37" si="14">-500*135</f>
        <v>-67500</v>
      </c>
      <c r="R37" s="90">
        <f t="shared" si="14"/>
        <v>-67500</v>
      </c>
      <c r="S37" s="90">
        <f t="shared" si="14"/>
        <v>-67500</v>
      </c>
      <c r="T37" s="88">
        <f t="shared" si="7"/>
        <v>-1151254.7999999998</v>
      </c>
      <c r="V37" s="76"/>
    </row>
    <row r="38" spans="1:22" s="87" customFormat="1" x14ac:dyDescent="0.2">
      <c r="C38" s="87" t="s">
        <v>163</v>
      </c>
      <c r="E38" s="104"/>
      <c r="F38" s="104"/>
      <c r="G38" s="104"/>
      <c r="H38" s="102">
        <f>-SUMIFS(lv!D:D,lv!$B:$B,"62400012")</f>
        <v>0</v>
      </c>
      <c r="I38" s="102">
        <f>-SUMIFS(lv!E:E,lv!$B:$B,"62400012")</f>
        <v>0</v>
      </c>
      <c r="J38" s="102">
        <f>-SUMIFS(lv!F:F,lv!$B:$B,"62400012")</f>
        <v>0</v>
      </c>
      <c r="K38" s="102">
        <f>-SUMIFS(lv!G:G,lv!$B:$B,"62400012")</f>
        <v>0</v>
      </c>
      <c r="L38" s="102">
        <f>-SUMIFS(lv!H:H,lv!$B:$B,"62400012")</f>
        <v>0</v>
      </c>
      <c r="M38" s="102">
        <f>-SUMIFS(lv!I:I,lv!$B:$B,"62400012")</f>
        <v>0</v>
      </c>
      <c r="N38" s="102">
        <f>-SUMIFS(lv!J:J,lv!$B:$B,"62400012")</f>
        <v>0</v>
      </c>
      <c r="O38" s="102">
        <f>-SUMIFS(lv!K:K,lv!$B:$B,"62400012")</f>
        <v>0</v>
      </c>
      <c r="P38" s="102">
        <f>-SUMIFS(lv!L:L,lv!$B:$B,"62400012")</f>
        <v>0</v>
      </c>
      <c r="Q38" s="90">
        <f>-SUMIFS(lv!M:M,lv!$B:$B,"62400012")-SUMIFS(lv!M:M,lv!$B:$B,"6240002")</f>
        <v>0</v>
      </c>
      <c r="R38" s="90">
        <f>-SUMIFS(lv!N:N,lv!$B:$B,"62400012")-SUMIFS(lv!N:N,lv!$B:$B,"6240002")</f>
        <v>0</v>
      </c>
      <c r="S38" s="90">
        <f>-SUMIFS(lv!O:O,lv!$B:$B,"62400012")-SUMIFS(lv!O:O,lv!$B:$B,"6240002")</f>
        <v>0</v>
      </c>
      <c r="T38" s="88">
        <f t="shared" si="7"/>
        <v>0</v>
      </c>
      <c r="V38" s="76"/>
    </row>
    <row r="39" spans="1:22" x14ac:dyDescent="0.2">
      <c r="C39" s="105" t="s">
        <v>25</v>
      </c>
      <c r="D39" s="105"/>
      <c r="E39" s="79"/>
      <c r="F39" s="79"/>
      <c r="G39" s="79"/>
      <c r="H39" s="102"/>
      <c r="I39" s="102"/>
      <c r="J39" s="102"/>
      <c r="K39" s="102"/>
      <c r="L39" s="102"/>
      <c r="M39" s="102"/>
      <c r="N39" s="102"/>
      <c r="O39" s="102"/>
      <c r="P39" s="102"/>
      <c r="Q39" s="90"/>
      <c r="R39" s="90"/>
      <c r="S39" s="90"/>
      <c r="T39" s="88">
        <f t="shared" si="7"/>
        <v>0</v>
      </c>
    </row>
    <row r="40" spans="1:22" x14ac:dyDescent="0.2">
      <c r="C40" s="105" t="s">
        <v>23</v>
      </c>
      <c r="D40" s="105"/>
      <c r="E40" s="79"/>
      <c r="F40" s="79"/>
      <c r="G40" s="79"/>
      <c r="H40" s="102">
        <f>-SUMIFS(lv!D:D,lv!$B:$B,"626")-SUMIFS(lv!D:D,lv!$B:$B,"626001")-SUMIFS(lv!D:D,lv!$B:$B,"626003")</f>
        <v>-15559.56</v>
      </c>
      <c r="I40" s="102">
        <f>-SUMIFS(lv!E:E,lv!$B:$B,"626")-SUMIFS(lv!E:E,lv!$B:$B,"626001")-SUMIFS(lv!E:E,lv!$B:$B,"626003")</f>
        <v>-23105.084999999999</v>
      </c>
      <c r="J40" s="102">
        <f>-SUMIFS(lv!F:F,lv!$B:$B,"626")-SUMIFS(lv!F:F,lv!$B:$B,"626001")-SUMIFS(lv!F:F,lv!$B:$B,"626003")</f>
        <v>-23564.29</v>
      </c>
      <c r="K40" s="102">
        <f>-SUMIFS(lv!G:G,lv!$B:$B,"626")-SUMIFS(lv!G:G,lv!$B:$B,"626001")-SUMIFS(lv!G:G,lv!$B:$B,"626003")</f>
        <v>-23522.43</v>
      </c>
      <c r="L40" s="102">
        <f>-SUMIFS(lv!H:H,lv!$B:$B,"626")-SUMIFS(lv!H:H,lv!$B:$B,"626001")-SUMIFS(lv!H:H,lv!$B:$B,"626003")</f>
        <v>-30032.309999999998</v>
      </c>
      <c r="M40" s="102">
        <f>-SUMIFS(lv!I:I,lv!$B:$B,"626")-SUMIFS(lv!I:I,lv!$B:$B,"626001")-SUMIFS(lv!I:I,lv!$B:$B,"626003")</f>
        <v>-52078.57</v>
      </c>
      <c r="N40" s="102">
        <f>-SUMIFS(lv!J:J,lv!$B:$B,"626")-SUMIFS(lv!J:J,lv!$B:$B,"626001")-SUMIFS(lv!J:J,lv!$B:$B,"626003")</f>
        <v>-47745.38</v>
      </c>
      <c r="O40" s="102">
        <f>-SUMIFS(lv!K:K,lv!$B:$B,"626")-SUMIFS(lv!K:K,lv!$B:$B,"626001")-SUMIFS(lv!K:K,lv!$B:$B,"626003")</f>
        <v>-45265.520000000004</v>
      </c>
      <c r="P40" s="102">
        <f>-SUMIFS(lv!L:L,lv!$B:$B,"626")-SUMIFS(lv!L:L,lv!$B:$B,"626001")-SUMIFS(lv!L:L,lv!$B:$B,"626003")</f>
        <v>-44988.36</v>
      </c>
      <c r="Q40" s="90">
        <v>-28000</v>
      </c>
      <c r="R40" s="90">
        <v>-28000</v>
      </c>
      <c r="S40" s="90">
        <v>-28000</v>
      </c>
      <c r="T40" s="88">
        <f t="shared" si="7"/>
        <v>-389861.505</v>
      </c>
      <c r="V40" s="76">
        <v>2</v>
      </c>
    </row>
    <row r="41" spans="1:22" x14ac:dyDescent="0.2">
      <c r="C41" s="105" t="s">
        <v>24</v>
      </c>
      <c r="D41" s="105"/>
      <c r="E41" s="79"/>
      <c r="F41" s="79"/>
      <c r="G41" s="79"/>
      <c r="H41" s="102">
        <f>-SUMIFS(lv!D:D,lv!$B:$B,"6271")-SUMIFS(lv!D:D,lv!$B:$B,"6276")</f>
        <v>-2700</v>
      </c>
      <c r="I41" s="102">
        <f>-SUMIFS(lv!E:E,lv!$B:$B,"6271")-SUMIFS(lv!E:E,lv!$B:$B,"6276")</f>
        <v>-56678.240000000005</v>
      </c>
      <c r="J41" s="102">
        <f>-SUMIFS(lv!F:F,lv!$B:$B,"6271")-SUMIFS(lv!F:F,lv!$B:$B,"6276")</f>
        <v>-110685.22</v>
      </c>
      <c r="K41" s="102">
        <f>-SUMIFS(lv!G:G,lv!$B:$B,"6271")-SUMIFS(lv!G:G,lv!$B:$B,"6276")</f>
        <v>-53253.5</v>
      </c>
      <c r="L41" s="102">
        <f>-SUMIFS(lv!H:H,lv!$B:$B,"6271")-SUMIFS(lv!H:H,lv!$B:$B,"6276")</f>
        <v>-7500</v>
      </c>
      <c r="M41" s="102">
        <f>-SUMIFS(lv!I:I,lv!$B:$B,"6271")-SUMIFS(lv!I:I,lv!$B:$B,"6276")</f>
        <v>-49944.59</v>
      </c>
      <c r="N41" s="102">
        <f>-SUMIFS(lv!J:J,lv!$B:$B,"6271")-SUMIFS(lv!J:J,lv!$B:$B,"6276")</f>
        <v>-27165.34</v>
      </c>
      <c r="O41" s="102">
        <f>-SUMIFS(lv!K:K,lv!$B:$B,"6271")-SUMIFS(lv!K:K,lv!$B:$B,"6276")</f>
        <v>-7500</v>
      </c>
      <c r="P41" s="102">
        <f>-SUMIFS(lv!L:L,lv!$B:$B,"6271")-SUMIFS(lv!L:L,lv!$B:$B,"6276")</f>
        <v>-106708.6</v>
      </c>
      <c r="Q41" s="90">
        <v>-50000</v>
      </c>
      <c r="R41" s="90">
        <v>-50000</v>
      </c>
      <c r="S41" s="90">
        <v>-50000</v>
      </c>
      <c r="T41" s="88">
        <f t="shared" si="7"/>
        <v>-572135.49000000011</v>
      </c>
      <c r="V41" s="76">
        <v>2</v>
      </c>
    </row>
    <row r="42" spans="1:22" x14ac:dyDescent="0.2">
      <c r="C42" s="105" t="s">
        <v>33</v>
      </c>
      <c r="D42" s="105"/>
      <c r="E42" s="79"/>
      <c r="F42" s="79"/>
      <c r="G42" s="79"/>
      <c r="H42" s="102">
        <f>-SUMIFS(lv!D:D,lv!$B:$B,"628")</f>
        <v>-105647.57</v>
      </c>
      <c r="I42" s="102">
        <f>-SUMIFS(lv!E:E,lv!$B:$B,"628")</f>
        <v>-74465.740000000005</v>
      </c>
      <c r="J42" s="102">
        <f>-SUMIFS(lv!F:F,lv!$B:$B,"628")</f>
        <v>-60293.66</v>
      </c>
      <c r="K42" s="102">
        <f>-SUMIFS(lv!G:G,lv!$B:$B,"628")</f>
        <v>-69545.03</v>
      </c>
      <c r="L42" s="102">
        <f>-SUMIFS(lv!H:H,lv!$B:$B,"628")</f>
        <v>-64178.86</v>
      </c>
      <c r="M42" s="102">
        <f>-SUMIFS(lv!I:I,lv!$B:$B,"628")</f>
        <v>-76107.740000000005</v>
      </c>
      <c r="N42" s="102">
        <f>-SUMIFS(lv!J:J,lv!$B:$B,"628")</f>
        <v>-54569.53</v>
      </c>
      <c r="O42" s="102">
        <f>-SUMIFS(lv!K:K,lv!$B:$B,"628")</f>
        <v>-82033.570000000007</v>
      </c>
      <c r="P42" s="102">
        <f>-SUMIFS(lv!L:L,lv!$B:$B,"628")</f>
        <v>-61612.62</v>
      </c>
      <c r="Q42" s="90">
        <v>-75000</v>
      </c>
      <c r="R42" s="90">
        <v>-75000</v>
      </c>
      <c r="S42" s="90">
        <v>-75000</v>
      </c>
      <c r="T42" s="88">
        <f t="shared" si="7"/>
        <v>-873454.32</v>
      </c>
    </row>
    <row r="43" spans="1:22" s="87" customFormat="1" x14ac:dyDescent="0.2">
      <c r="C43" s="87" t="s">
        <v>34</v>
      </c>
      <c r="E43" s="104"/>
      <c r="F43" s="104"/>
      <c r="G43" s="104"/>
      <c r="H43" s="102"/>
      <c r="I43" s="102"/>
      <c r="J43" s="102"/>
      <c r="K43" s="102"/>
      <c r="L43" s="102"/>
      <c r="M43" s="102"/>
      <c r="N43" s="102"/>
      <c r="O43" s="102"/>
      <c r="P43" s="102"/>
      <c r="Q43" s="90"/>
      <c r="R43" s="90"/>
      <c r="S43" s="90"/>
      <c r="T43" s="88">
        <f t="shared" si="7"/>
        <v>0</v>
      </c>
      <c r="V43" s="76"/>
    </row>
    <row r="44" spans="1:22" x14ac:dyDescent="0.2">
      <c r="C44" s="105" t="s">
        <v>35</v>
      </c>
      <c r="D44" s="105"/>
      <c r="E44" s="79"/>
      <c r="F44" s="79"/>
      <c r="G44" s="79"/>
      <c r="H44" s="102">
        <f>-SUMIFS(lv!D:D,lv!$B:$B,"6320001")</f>
        <v>0</v>
      </c>
      <c r="I44" s="102">
        <f>-SUMIFS(lv!E:E,lv!$B:$B,"6320001")</f>
        <v>-41542.800000000003</v>
      </c>
      <c r="J44" s="102">
        <f>-SUMIFS(lv!F:F,lv!$B:$B,"6320001")</f>
        <v>-10187.549999999999</v>
      </c>
      <c r="K44" s="102">
        <f>-SUMIFS(lv!G:G,lv!$B:$B,"6320001")</f>
        <v>-2995</v>
      </c>
      <c r="L44" s="102">
        <f>-SUMIFS(lv!H:H,lv!$B:$B,"6320001")</f>
        <v>0</v>
      </c>
      <c r="M44" s="102">
        <f>-SUMIFS(lv!I:I,lv!$B:$B,"6320001")</f>
        <v>0</v>
      </c>
      <c r="N44" s="102">
        <f>-SUMIFS(lv!J:J,lv!$B:$B,"6320001")</f>
        <v>0</v>
      </c>
      <c r="O44" s="102">
        <f>-SUMIFS(lv!K:K,lv!$B:$B,"6320001")</f>
        <v>0</v>
      </c>
      <c r="P44" s="102">
        <f>-SUMIFS(lv!L:L,lv!$B:$B,"6320001")</f>
        <v>-42877.8</v>
      </c>
      <c r="Q44" s="90"/>
      <c r="R44" s="90"/>
      <c r="S44" s="90"/>
      <c r="T44" s="88">
        <f t="shared" si="7"/>
        <v>-97603.150000000009</v>
      </c>
    </row>
    <row r="45" spans="1:22" s="87" customFormat="1" x14ac:dyDescent="0.2">
      <c r="C45" s="87" t="s">
        <v>36</v>
      </c>
      <c r="E45" s="104"/>
      <c r="F45" s="104"/>
      <c r="G45" s="104"/>
      <c r="H45" s="102">
        <f>-SUMIFS(lv!D:D,lv!$B:$B,"634")</f>
        <v>0</v>
      </c>
      <c r="I45" s="102">
        <f>-SUMIFS(lv!E:E,lv!$B:$B,"634")</f>
        <v>0</v>
      </c>
      <c r="J45" s="102">
        <f>-SUMIFS(lv!F:F,lv!$B:$B,"634")</f>
        <v>-90000</v>
      </c>
      <c r="K45" s="102">
        <f>-SUMIFS(lv!G:G,lv!$B:$B,"634")</f>
        <v>0</v>
      </c>
      <c r="L45" s="102">
        <f>-SUMIFS(lv!H:H,lv!$B:$B,"634")</f>
        <v>0</v>
      </c>
      <c r="M45" s="102">
        <f>-SUMIFS(lv!I:I,lv!$B:$B,"634")</f>
        <v>0</v>
      </c>
      <c r="N45" s="102">
        <f>-SUMIFS(lv!J:J,lv!$B:$B,"634")</f>
        <v>0</v>
      </c>
      <c r="O45" s="102">
        <f>-SUMIFS(lv!K:K,lv!$B:$B,"634")</f>
        <v>0</v>
      </c>
      <c r="P45" s="102">
        <f>-SUMIFS(lv!L:L,lv!$B:$B,"634")</f>
        <v>0</v>
      </c>
      <c r="Q45" s="90"/>
      <c r="R45" s="90"/>
      <c r="S45" s="90"/>
      <c r="T45" s="88">
        <f t="shared" si="7"/>
        <v>-90000</v>
      </c>
      <c r="V45" s="76"/>
    </row>
    <row r="46" spans="1:22" x14ac:dyDescent="0.2">
      <c r="C46" s="105" t="s">
        <v>37</v>
      </c>
      <c r="D46" s="105"/>
      <c r="E46" s="79"/>
      <c r="F46" s="79"/>
      <c r="G46" s="79"/>
      <c r="H46" s="102">
        <f>-SUMIFS(lv!D:D,lv!$B:$B,"638")</f>
        <v>0</v>
      </c>
      <c r="I46" s="102">
        <f>-SUMIFS(lv!E:E,lv!$B:$B,"638")</f>
        <v>-6684</v>
      </c>
      <c r="J46" s="102">
        <f>-SUMIFS(lv!F:F,lv!$B:$B,"638")</f>
        <v>-11888</v>
      </c>
      <c r="K46" s="102">
        <f>-SUMIFS(lv!G:G,lv!$B:$B,"638")</f>
        <v>-2995</v>
      </c>
      <c r="L46" s="102">
        <f>-SUMIFS(lv!H:H,lv!$B:$B,"638")</f>
        <v>-600</v>
      </c>
      <c r="M46" s="102">
        <f>-SUMIFS(lv!I:I,lv!$B:$B,"638")</f>
        <v>-2953</v>
      </c>
      <c r="N46" s="102">
        <f>-SUMIFS(lv!J:J,lv!$B:$B,"638")</f>
        <v>-3117</v>
      </c>
      <c r="O46" s="102">
        <f>-SUMIFS(lv!K:K,lv!$B:$B,"638")</f>
        <v>0</v>
      </c>
      <c r="P46" s="102">
        <f>-SUMIFS(lv!L:L,lv!$B:$B,"638")</f>
        <v>-11748</v>
      </c>
      <c r="Q46" s="90"/>
      <c r="R46" s="90"/>
      <c r="S46" s="90"/>
      <c r="T46" s="88">
        <f t="shared" si="7"/>
        <v>-39985</v>
      </c>
    </row>
    <row r="47" spans="1:22" s="87" customFormat="1" x14ac:dyDescent="0.2">
      <c r="A47" s="101"/>
      <c r="C47" s="101" t="s">
        <v>38</v>
      </c>
      <c r="D47" s="101"/>
      <c r="E47" s="101"/>
      <c r="F47" s="101"/>
      <c r="G47" s="101"/>
      <c r="H47" s="102">
        <f>-SUMIFS(lv!D:D,lv!$B:$B,"641")</f>
        <v>-603782</v>
      </c>
      <c r="I47" s="102">
        <f>-SUMIFS(lv!E:E,lv!$B:$B,"641")</f>
        <v>-616092</v>
      </c>
      <c r="J47" s="102">
        <f>-SUMIFS(lv!F:F,lv!$B:$B,"641")</f>
        <v>-848003</v>
      </c>
      <c r="K47" s="102">
        <f>-SUMIFS(lv!G:G,lv!$B:$B,"641")</f>
        <v>-848003</v>
      </c>
      <c r="L47" s="102">
        <f>-SUMIFS(lv!H:H,lv!$B:$B,"641")</f>
        <v>-838878</v>
      </c>
      <c r="M47" s="102">
        <f>-SUMIFS(lv!I:I,lv!$B:$B,"641")</f>
        <v>-802505</v>
      </c>
      <c r="N47" s="102">
        <f>-SUMIFS(lv!J:J,lv!$B:$B,"641")</f>
        <v>-831373</v>
      </c>
      <c r="O47" s="102">
        <f>-SUMIFS(lv!K:K,lv!$B:$B,"641")</f>
        <v>-850929</v>
      </c>
      <c r="P47" s="90">
        <f>+O47</f>
        <v>-850929</v>
      </c>
      <c r="Q47" s="90">
        <v>-850000</v>
      </c>
      <c r="R47" s="90">
        <v>-850000</v>
      </c>
      <c r="S47" s="90">
        <v>-850000</v>
      </c>
      <c r="T47" s="88">
        <f t="shared" si="7"/>
        <v>-9640494</v>
      </c>
      <c r="V47" s="76"/>
    </row>
    <row r="48" spans="1:22" s="87" customFormat="1" x14ac:dyDescent="0.2">
      <c r="A48" s="101"/>
      <c r="C48" s="101" t="s">
        <v>39</v>
      </c>
      <c r="D48" s="101"/>
      <c r="E48" s="101"/>
      <c r="F48" s="101"/>
      <c r="G48" s="101"/>
      <c r="H48" s="102">
        <f>-SUMIFS(lv!D:D,lv!$B:$B,"644")</f>
        <v>-100836</v>
      </c>
      <c r="I48" s="102">
        <f>-SUMIFS(lv!E:E,lv!$B:$B,"644")</f>
        <v>-102888</v>
      </c>
      <c r="J48" s="102">
        <f>-SUMIFS(lv!F:F,lv!$B:$B,"644")</f>
        <v>-137656</v>
      </c>
      <c r="K48" s="102">
        <f>-SUMIFS(lv!G:G,lv!$B:$B,"644")</f>
        <v>-137656</v>
      </c>
      <c r="L48" s="102">
        <f>-SUMIFS(lv!H:H,lv!$B:$B,"644")</f>
        <v>-137303</v>
      </c>
      <c r="M48" s="102">
        <f>-SUMIFS(lv!I:I,lv!$B:$B,"644")</f>
        <v>-131229</v>
      </c>
      <c r="N48" s="102">
        <f>-SUMIFS(lv!J:J,lv!$B:$B,"644")</f>
        <v>-136049</v>
      </c>
      <c r="O48" s="102">
        <f>-SUMIFS(lv!K:K,lv!$B:$B,"644")</f>
        <v>-139315</v>
      </c>
      <c r="P48" s="90">
        <f>+O48</f>
        <v>-139315</v>
      </c>
      <c r="Q48" s="90">
        <f t="shared" ref="O48:S48" si="15">+Q47*16.7%</f>
        <v>-141949.99999999997</v>
      </c>
      <c r="R48" s="90">
        <f t="shared" si="15"/>
        <v>-141949.99999999997</v>
      </c>
      <c r="S48" s="90">
        <f t="shared" si="15"/>
        <v>-141949.99999999997</v>
      </c>
      <c r="T48" s="88">
        <f t="shared" si="7"/>
        <v>-1588097</v>
      </c>
      <c r="V48" s="76"/>
    </row>
    <row r="49" spans="2:22" x14ac:dyDescent="0.2">
      <c r="C49" s="105" t="s">
        <v>27</v>
      </c>
      <c r="D49" s="105"/>
      <c r="E49" s="79"/>
      <c r="F49" s="79"/>
      <c r="G49" s="79"/>
      <c r="H49" s="102">
        <f>-SUMIFS(lv!D:D,lv!$B:$B,"654")</f>
        <v>0</v>
      </c>
      <c r="I49" s="102">
        <f>-SUMIFS(lv!E:E,lv!$B:$B,"654")</f>
        <v>0</v>
      </c>
      <c r="J49" s="102">
        <f>-SUMIFS(lv!F:F,lv!$B:$B,"654")</f>
        <v>0</v>
      </c>
      <c r="K49" s="102">
        <f>-SUMIFS(lv!G:G,lv!$B:$B,"654")</f>
        <v>-16203.6</v>
      </c>
      <c r="L49" s="102">
        <f>-SUMIFS(lv!H:H,lv!$B:$B,"654")</f>
        <v>-30000</v>
      </c>
      <c r="M49" s="102">
        <f>-SUMIFS(lv!I:I,lv!$B:$B,"654")</f>
        <v>0</v>
      </c>
      <c r="N49" s="102">
        <f>-SUMIFS(lv!J:J,lv!$B:$B,"654")</f>
        <v>0</v>
      </c>
      <c r="O49" s="102">
        <f>-SUMIFS(lv!K:K,lv!$B:$B,"654")</f>
        <v>0</v>
      </c>
      <c r="P49" s="102">
        <f>-SUMIFS(lv!L:L,lv!$B:$B,"654")</f>
        <v>0</v>
      </c>
      <c r="Q49" s="90"/>
      <c r="R49" s="90"/>
      <c r="S49" s="90"/>
      <c r="T49" s="88">
        <f t="shared" si="7"/>
        <v>-46203.6</v>
      </c>
    </row>
    <row r="50" spans="2:22" s="87" customFormat="1" x14ac:dyDescent="0.2">
      <c r="C50" s="87" t="s">
        <v>40</v>
      </c>
      <c r="E50" s="104"/>
      <c r="F50" s="104"/>
      <c r="G50" s="104"/>
      <c r="H50" s="102">
        <f>-SUMIFS(lv!D:D,lv!$B:$B,"657")-SUMIFS(lv!D:D,lv!$B:$B,"658")</f>
        <v>0</v>
      </c>
      <c r="I50" s="102">
        <f>-SUMIFS(lv!E:E,lv!$B:$B,"657")-SUMIFS(lv!E:E,lv!$B:$B,"658")</f>
        <v>-73668</v>
      </c>
      <c r="J50" s="102">
        <f>-SUMIFS(lv!F:F,lv!$B:$B,"657")-SUMIFS(lv!F:F,lv!$B:$B,"658")</f>
        <v>0</v>
      </c>
      <c r="K50" s="102">
        <f>-SUMIFS(lv!G:G,lv!$B:$B,"657")-SUMIFS(lv!G:G,lv!$B:$B,"658")</f>
        <v>0</v>
      </c>
      <c r="L50" s="102">
        <f>-SUMIFS(lv!H:H,lv!$B:$B,"657")-SUMIFS(lv!H:H,lv!$B:$B,"658")</f>
        <v>-0.2</v>
      </c>
      <c r="M50" s="102">
        <f>-SUMIFS(lv!I:I,lv!$B:$B,"657")-SUMIFS(lv!I:I,lv!$B:$B,"658")</f>
        <v>-18006.080000000002</v>
      </c>
      <c r="N50" s="102">
        <f>-SUMIFS(lv!J:J,lv!$B:$B,"657")-SUMIFS(lv!J:J,lv!$B:$B,"658")</f>
        <v>0</v>
      </c>
      <c r="O50" s="102">
        <f>-SUMIFS(lv!K:K,lv!$B:$B,"657")-SUMIFS(lv!K:K,lv!$B:$B,"658")</f>
        <v>-200</v>
      </c>
      <c r="P50" s="102">
        <f>-SUMIFS(lv!L:L,lv!$B:$B,"657")-SUMIFS(lv!L:L,lv!$B:$B,"658")</f>
        <v>0</v>
      </c>
      <c r="Q50" s="90"/>
      <c r="R50" s="90"/>
      <c r="S50" s="90"/>
      <c r="T50" s="88">
        <f t="shared" si="7"/>
        <v>-91874.28</v>
      </c>
      <c r="V50" s="76"/>
    </row>
    <row r="51" spans="2:22" s="87" customFormat="1" x14ac:dyDescent="0.2">
      <c r="C51" s="87" t="s">
        <v>125</v>
      </c>
      <c r="E51" s="104"/>
      <c r="F51" s="104"/>
      <c r="G51" s="104"/>
      <c r="H51" s="102">
        <f>-SUMIFS(lv!D:D,lv!$B:$B,"667")</f>
        <v>-57832.08</v>
      </c>
      <c r="I51" s="102">
        <f>-SUMIFS(lv!E:E,lv!$B:$B,"667")</f>
        <v>-72900.794200000004</v>
      </c>
      <c r="J51" s="102">
        <f>-SUMIFS(lv!F:F,lv!$B:$B,"667")</f>
        <v>-93739.740900000004</v>
      </c>
      <c r="K51" s="102">
        <f>-SUMIFS(lv!G:G,lv!$B:$B,"667")</f>
        <v>-54284.871899999998</v>
      </c>
      <c r="L51" s="102">
        <f>-SUMIFS(lv!H:H,lv!$B:$B,"667")</f>
        <v>-135663.69990000001</v>
      </c>
      <c r="M51" s="102">
        <f>-SUMIFS(lv!I:I,lv!$B:$B,"667")</f>
        <v>-30116.74</v>
      </c>
      <c r="N51" s="102">
        <f>-SUMIFS(lv!J:J,lv!$B:$B,"667")</f>
        <v>-79737.234899999996</v>
      </c>
      <c r="O51" s="102">
        <f>-SUMIFS(lv!K:K,lv!$B:$B,"667")</f>
        <v>-57751.89</v>
      </c>
      <c r="P51" s="102">
        <f>-SUMIFS(lv!L:L,lv!$B:$B,"667")</f>
        <v>-62005.243999999999</v>
      </c>
      <c r="Q51" s="90">
        <v>-77000</v>
      </c>
      <c r="R51" s="90">
        <v>-77000</v>
      </c>
      <c r="S51" s="90">
        <v>-77000</v>
      </c>
      <c r="T51" s="88">
        <f t="shared" si="7"/>
        <v>-875032.29579999985</v>
      </c>
      <c r="V51" s="76"/>
    </row>
    <row r="52" spans="2:22" s="87" customFormat="1" x14ac:dyDescent="0.2">
      <c r="C52" s="87" t="s">
        <v>157</v>
      </c>
      <c r="E52" s="104"/>
      <c r="F52" s="104"/>
      <c r="G52" s="104"/>
      <c r="H52" s="102">
        <f>-SUMIFS(lv!D:D,lv!$B:$B,"669")</f>
        <v>-742</v>
      </c>
      <c r="I52" s="102">
        <f>-SUMIFS(lv!E:E,lv!$B:$B,"669")</f>
        <v>-1421.15</v>
      </c>
      <c r="J52" s="102">
        <f>-SUMIFS(lv!F:F,lv!$B:$B,"669")</f>
        <v>-0.6</v>
      </c>
      <c r="K52" s="102">
        <f>-SUMIFS(lv!G:G,lv!$B:$B,"669")</f>
        <v>0</v>
      </c>
      <c r="L52" s="102">
        <f>-SUMIFS(lv!H:H,lv!$B:$B,"669")</f>
        <v>-1651.14</v>
      </c>
      <c r="M52" s="102">
        <f>-SUMIFS(lv!I:I,lv!$B:$B,"669")</f>
        <v>-1045.21</v>
      </c>
      <c r="N52" s="102">
        <f>-SUMIFS(lv!J:J,lv!$B:$B,"669")</f>
        <v>-403.58</v>
      </c>
      <c r="O52" s="102">
        <f>-SUMIFS(lv!K:K,lv!$B:$B,"669")</f>
        <v>-266.73</v>
      </c>
      <c r="P52" s="102">
        <f>-SUMIFS(lv!L:L,lv!$B:$B,"669")</f>
        <v>-4.4000000000000004</v>
      </c>
      <c r="Q52" s="90"/>
      <c r="R52" s="90"/>
      <c r="S52" s="90"/>
      <c r="T52" s="88">
        <f t="shared" si="7"/>
        <v>-5534.8099999999995</v>
      </c>
      <c r="V52" s="76"/>
    </row>
    <row r="53" spans="2:22" x14ac:dyDescent="0.2">
      <c r="C53" s="105" t="s">
        <v>41</v>
      </c>
      <c r="D53" s="105"/>
      <c r="E53" s="79"/>
      <c r="F53" s="79"/>
      <c r="G53" s="79"/>
      <c r="H53" s="102">
        <v>-421000</v>
      </c>
      <c r="I53" s="102">
        <v>-421000</v>
      </c>
      <c r="J53" s="102">
        <v>-421000</v>
      </c>
      <c r="K53" s="102">
        <v>-421000</v>
      </c>
      <c r="L53" s="102">
        <v>-421000</v>
      </c>
      <c r="M53" s="102">
        <v>-421000</v>
      </c>
      <c r="N53" s="102">
        <v>-421000</v>
      </c>
      <c r="O53" s="102">
        <v>-421000</v>
      </c>
      <c r="P53" s="102">
        <v>-421000</v>
      </c>
      <c r="Q53" s="90">
        <v>-421000</v>
      </c>
      <c r="R53" s="90">
        <v>-421000</v>
      </c>
      <c r="S53" s="90">
        <v>-421000</v>
      </c>
      <c r="T53" s="88">
        <f t="shared" si="7"/>
        <v>-5052000</v>
      </c>
    </row>
    <row r="54" spans="2:22" x14ac:dyDescent="0.2">
      <c r="C54" s="105" t="s">
        <v>28</v>
      </c>
      <c r="D54" s="105"/>
      <c r="E54" s="79"/>
      <c r="F54" s="79"/>
      <c r="G54" s="79"/>
      <c r="H54" s="102"/>
      <c r="I54" s="102"/>
      <c r="J54" s="102"/>
      <c r="K54" s="102"/>
      <c r="L54" s="102"/>
      <c r="M54" s="102"/>
      <c r="N54" s="102"/>
      <c r="O54" s="102"/>
      <c r="P54" s="102"/>
      <c r="Q54" s="90"/>
      <c r="R54" s="90"/>
      <c r="S54" s="90"/>
      <c r="T54" s="88">
        <f t="shared" si="7"/>
        <v>0</v>
      </c>
    </row>
    <row r="55" spans="2:22" x14ac:dyDescent="0.2">
      <c r="T55" s="79"/>
    </row>
    <row r="56" spans="2:22" s="79" customFormat="1" x14ac:dyDescent="0.2">
      <c r="B56" s="106" t="s">
        <v>29</v>
      </c>
      <c r="C56" s="106"/>
      <c r="D56" s="106"/>
      <c r="E56" s="106"/>
      <c r="F56" s="106"/>
      <c r="G56" s="106"/>
      <c r="H56" s="107">
        <f>SUM(H24:H55)</f>
        <v>-3495790.6179</v>
      </c>
      <c r="I56" s="107">
        <f t="shared" ref="I56:S56" si="16">SUM(I24:I55)</f>
        <v>-3573802.7992000002</v>
      </c>
      <c r="J56" s="107">
        <f t="shared" si="16"/>
        <v>-4182018.4509000005</v>
      </c>
      <c r="K56" s="107">
        <f t="shared" si="16"/>
        <v>-4195393.6880000001</v>
      </c>
      <c r="L56" s="107">
        <f t="shared" si="16"/>
        <v>-3630420.8147</v>
      </c>
      <c r="M56" s="107">
        <f t="shared" si="16"/>
        <v>-3577333.0348000005</v>
      </c>
      <c r="N56" s="107">
        <f>SUM(N24:N55)</f>
        <v>-3756414.2051999997</v>
      </c>
      <c r="O56" s="107">
        <f t="shared" si="16"/>
        <v>-3710794.1282000002</v>
      </c>
      <c r="P56" s="107">
        <f t="shared" si="16"/>
        <v>-3824326.804</v>
      </c>
      <c r="Q56" s="107">
        <f t="shared" si="16"/>
        <v>-3575055</v>
      </c>
      <c r="R56" s="107">
        <f t="shared" si="16"/>
        <v>-3575055</v>
      </c>
      <c r="S56" s="107">
        <f t="shared" si="16"/>
        <v>-3575055</v>
      </c>
      <c r="T56" s="107">
        <f>SUM(T24:T55)</f>
        <v>-44671459.542900003</v>
      </c>
      <c r="V56" s="80"/>
    </row>
    <row r="57" spans="2:22" x14ac:dyDescent="0.2">
      <c r="T57" s="79"/>
    </row>
    <row r="58" spans="2:22" x14ac:dyDescent="0.2">
      <c r="B58" s="108" t="s">
        <v>30</v>
      </c>
      <c r="C58" s="108"/>
      <c r="D58" s="108"/>
      <c r="E58" s="108"/>
      <c r="F58" s="108"/>
      <c r="G58" s="108"/>
      <c r="H58" s="109">
        <f>+H14+H17+H19+H56</f>
        <v>875022.24309999682</v>
      </c>
      <c r="I58" s="109">
        <f>+I14+I17+I19+I56</f>
        <v>-474537.81920000073</v>
      </c>
      <c r="J58" s="109">
        <f t="shared" ref="J58:T58" si="17">+J14+J17+J19+J56</f>
        <v>-2078957.6779000005</v>
      </c>
      <c r="K58" s="109">
        <f t="shared" si="17"/>
        <v>-1869745.2529999996</v>
      </c>
      <c r="L58" s="109">
        <f t="shared" si="17"/>
        <v>4394362.6762999967</v>
      </c>
      <c r="M58" s="109">
        <f t="shared" si="17"/>
        <v>2406064.251199997</v>
      </c>
      <c r="N58" s="109">
        <f>+N14+N17+N19+N56</f>
        <v>512335.28679999895</v>
      </c>
      <c r="O58" s="109">
        <f t="shared" si="17"/>
        <v>-768666.77420000173</v>
      </c>
      <c r="P58" s="109">
        <f t="shared" si="17"/>
        <v>-229936.52000000188</v>
      </c>
      <c r="Q58" s="109">
        <f t="shared" si="17"/>
        <v>2012266.67</v>
      </c>
      <c r="R58" s="109">
        <f t="shared" si="17"/>
        <v>3474945</v>
      </c>
      <c r="S58" s="109">
        <f t="shared" si="17"/>
        <v>2724945</v>
      </c>
      <c r="T58" s="109">
        <f t="shared" si="17"/>
        <v>10978097.083099999</v>
      </c>
    </row>
    <row r="60" spans="2:22" x14ac:dyDescent="0.2">
      <c r="B60" s="108" t="s">
        <v>30</v>
      </c>
      <c r="C60" s="108"/>
      <c r="D60" s="108"/>
      <c r="E60" s="108"/>
      <c r="F60" s="108"/>
      <c r="G60" s="108" t="s">
        <v>46</v>
      </c>
      <c r="H60" s="108"/>
      <c r="I60" s="108"/>
      <c r="J60" s="108"/>
      <c r="K60" s="108"/>
      <c r="L60" s="108"/>
      <c r="M60" s="108"/>
      <c r="N60" s="108"/>
      <c r="O60" s="108"/>
      <c r="P60" s="108"/>
      <c r="Q60" s="108"/>
      <c r="R60" s="108"/>
      <c r="S60" s="108"/>
      <c r="T60" s="110">
        <f>+T58/T14</f>
        <v>7.885506456593612E-2</v>
      </c>
      <c r="V60" s="76" t="s">
        <v>168</v>
      </c>
    </row>
    <row r="62" spans="2:22" s="111" customFormat="1" x14ac:dyDescent="0.2">
      <c r="C62" s="111" t="s">
        <v>42</v>
      </c>
      <c r="T62" s="112">
        <f>174734*3+264841*9</f>
        <v>2907771</v>
      </c>
      <c r="V62" s="76"/>
    </row>
    <row r="63" spans="2:22" s="111" customFormat="1" x14ac:dyDescent="0.2">
      <c r="C63" s="111" t="s">
        <v>43</v>
      </c>
      <c r="T63" s="112">
        <f>+T62/0.15</f>
        <v>19385140</v>
      </c>
      <c r="V63" s="76"/>
    </row>
    <row r="64" spans="2:22" s="113" customFormat="1" x14ac:dyDescent="0.2">
      <c r="C64" s="113" t="s">
        <v>44</v>
      </c>
      <c r="T64" s="114">
        <f>+T58-T63</f>
        <v>-8407042.9169000015</v>
      </c>
      <c r="U64" s="114"/>
      <c r="V64" s="115"/>
    </row>
    <row r="65" spans="3:22" s="113" customFormat="1" x14ac:dyDescent="0.2">
      <c r="C65" s="113" t="s">
        <v>45</v>
      </c>
      <c r="T65" s="114">
        <f>+T64*0.15</f>
        <v>-1261056.4375350003</v>
      </c>
      <c r="V65" s="76"/>
    </row>
    <row r="67" spans="3:22" s="111" customFormat="1" x14ac:dyDescent="0.2">
      <c r="T67" s="116"/>
      <c r="V67" s="76"/>
    </row>
    <row r="68" spans="3:22" s="111" customFormat="1" x14ac:dyDescent="0.2">
      <c r="T68" s="116"/>
      <c r="V68" s="76"/>
    </row>
  </sheetData>
  <mergeCells count="1">
    <mergeCell ref="H2:T2"/>
  </mergeCells>
  <printOptions horizontalCentered="1"/>
  <pageMargins left="0" right="0" top="0" bottom="0" header="0.3" footer="0.3"/>
  <pageSetup scale="8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 tint="-0.249977111117893"/>
  </sheetPr>
  <dimension ref="A1:R52"/>
  <sheetViews>
    <sheetView zoomScale="85" zoomScaleNormal="85" workbookViewId="0">
      <selection activeCell="P37" sqref="P37"/>
    </sheetView>
  </sheetViews>
  <sheetFormatPr defaultRowHeight="12.75" x14ac:dyDescent="0.2"/>
  <cols>
    <col min="1" max="2" width="3.7109375" style="2" customWidth="1"/>
    <col min="3" max="3" width="40.85546875" style="2" bestFit="1" customWidth="1"/>
    <col min="4" max="4" width="3.7109375" style="2" customWidth="1"/>
    <col min="5" max="5" width="11.5703125" style="2" bestFit="1" customWidth="1"/>
    <col min="6" max="16" width="12.28515625" style="2" bestFit="1" customWidth="1"/>
    <col min="17" max="16384" width="9.140625" style="2"/>
  </cols>
  <sheetData>
    <row r="1" spans="2:16" x14ac:dyDescent="0.2">
      <c r="B1" s="1"/>
      <c r="C1" s="1"/>
      <c r="D1" s="1"/>
      <c r="E1" s="1"/>
    </row>
    <row r="2" spans="2:16" x14ac:dyDescent="0.2">
      <c r="B2" s="3" t="s">
        <v>49</v>
      </c>
      <c r="C2" s="3"/>
      <c r="D2" s="3"/>
      <c r="E2" s="3"/>
    </row>
    <row r="3" spans="2:16" x14ac:dyDescent="0.2">
      <c r="B3" s="65"/>
      <c r="C3" s="65"/>
      <c r="D3" s="65"/>
      <c r="E3" s="65"/>
    </row>
    <row r="4" spans="2:16" x14ac:dyDescent="0.2">
      <c r="B4" s="4"/>
      <c r="C4" s="5" t="s">
        <v>50</v>
      </c>
      <c r="D4" s="5"/>
      <c r="E4" s="6">
        <v>42735</v>
      </c>
      <c r="F4" s="4"/>
    </row>
    <row r="5" spans="2:16" x14ac:dyDescent="0.2">
      <c r="C5" s="5" t="s">
        <v>51</v>
      </c>
      <c r="D5" s="5"/>
      <c r="E5" s="41">
        <v>426617.31652999786</v>
      </c>
      <c r="F5" s="7">
        <f>+E41</f>
        <v>7626365.0526299933</v>
      </c>
      <c r="G5" s="7">
        <f t="shared" ref="G5:P5" si="0">+F41</f>
        <v>1344848.201429992</v>
      </c>
      <c r="H5" s="7">
        <f t="shared" si="0"/>
        <v>35095.446529991925</v>
      </c>
      <c r="I5" s="7">
        <f t="shared" si="0"/>
        <v>372130.39452999458</v>
      </c>
      <c r="J5" s="7">
        <f t="shared" si="0"/>
        <v>22941064.191829991</v>
      </c>
      <c r="K5" s="7">
        <f t="shared" si="0"/>
        <v>27635968.730229985</v>
      </c>
      <c r="L5" s="7">
        <f t="shared" si="0"/>
        <v>24069203.934629984</v>
      </c>
      <c r="M5" s="7">
        <f t="shared" si="0"/>
        <v>18414268.166429982</v>
      </c>
      <c r="N5" s="7">
        <f t="shared" si="0"/>
        <v>4383092.3704299796</v>
      </c>
      <c r="O5" s="7">
        <f t="shared" si="0"/>
        <v>1053427.3744299784</v>
      </c>
      <c r="P5" s="7">
        <f t="shared" si="0"/>
        <v>4678976.3744299784</v>
      </c>
    </row>
    <row r="7" spans="2:16" x14ac:dyDescent="0.2">
      <c r="B7" s="64" t="s">
        <v>52</v>
      </c>
      <c r="C7" s="64"/>
      <c r="D7" s="8"/>
      <c r="E7" s="9">
        <v>42736</v>
      </c>
      <c r="F7" s="9">
        <v>42767</v>
      </c>
      <c r="G7" s="9">
        <v>42795</v>
      </c>
      <c r="H7" s="9">
        <v>42826</v>
      </c>
      <c r="I7" s="9">
        <v>42856</v>
      </c>
      <c r="J7" s="9">
        <v>42887</v>
      </c>
      <c r="K7" s="9">
        <v>42917</v>
      </c>
      <c r="L7" s="9">
        <v>42948</v>
      </c>
      <c r="M7" s="9">
        <v>42979</v>
      </c>
      <c r="N7" s="9">
        <v>43009</v>
      </c>
      <c r="O7" s="9">
        <v>43040</v>
      </c>
      <c r="P7" s="9">
        <v>43070</v>
      </c>
    </row>
    <row r="8" spans="2:16" x14ac:dyDescent="0.2">
      <c r="B8" s="66" t="s">
        <v>53</v>
      </c>
      <c r="C8" s="66"/>
      <c r="D8" s="10"/>
      <c r="E8" s="41">
        <f>+'P&amp;L'!H14*1.2</f>
        <v>11004827.351999996</v>
      </c>
      <c r="F8" s="41">
        <f>+'P&amp;L'!I14*1.2</f>
        <v>7711688.0399999991</v>
      </c>
      <c r="G8" s="41">
        <f>+'P&amp;L'!J14*1.2</f>
        <v>8895780.4680000003</v>
      </c>
      <c r="H8" s="41">
        <f>+'P&amp;L'!K14*1.2</f>
        <v>8030501.1120000016</v>
      </c>
      <c r="I8" s="41">
        <f>+'P&amp;L'!L14*1.2</f>
        <v>26804238.611999996</v>
      </c>
      <c r="J8" s="41">
        <f>+'P&amp;L'!M14*1.2</f>
        <v>15416697.743999995</v>
      </c>
      <c r="K8" s="41">
        <f>+'P&amp;L'!N14*1.2</f>
        <v>10974214.055999998</v>
      </c>
      <c r="L8" s="41">
        <f>+'P&amp;L'!O14*1.2</f>
        <v>8689689.959999999</v>
      </c>
      <c r="M8" s="41">
        <f>+'P&amp;L'!P14*1.2</f>
        <v>13689978.695999997</v>
      </c>
      <c r="N8" s="41">
        <f>+'P&amp;L'!Q14*1.2</f>
        <v>12644786.003999999</v>
      </c>
      <c r="O8" s="41">
        <f>+'P&amp;L'!R14*1.2</f>
        <v>24600000</v>
      </c>
      <c r="P8" s="41">
        <f>+'P&amp;L'!S14*1.2</f>
        <v>18600000</v>
      </c>
    </row>
    <row r="9" spans="2:16" x14ac:dyDescent="0.2">
      <c r="B9" s="67" t="s">
        <v>54</v>
      </c>
      <c r="C9" s="67"/>
      <c r="D9" s="11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</row>
    <row r="10" spans="2:16" x14ac:dyDescent="0.2">
      <c r="C10" s="13" t="s">
        <v>55</v>
      </c>
      <c r="D10" s="13"/>
      <c r="E10" s="41">
        <f>-Inventories!E9*1.2</f>
        <v>0</v>
      </c>
      <c r="F10" s="41">
        <f>-Inventories!F9*1.2</f>
        <v>-12110113.092</v>
      </c>
      <c r="G10" s="41">
        <f>-Inventories!G9*1.2</f>
        <v>-13214225.772</v>
      </c>
      <c r="H10" s="41">
        <f>-Inventories!H9*1.2</f>
        <v>-16098676.476</v>
      </c>
      <c r="I10" s="41">
        <f>-Inventories!I9*1.2</f>
        <v>-205488</v>
      </c>
      <c r="J10" s="41">
        <f>-Inventories!J9*1.2</f>
        <v>-6745064.1708000004</v>
      </c>
      <c r="K10" s="41">
        <f>-Inventories!K9*1.2</f>
        <v>-385168.64640000003</v>
      </c>
      <c r="L10" s="41">
        <f>-Inventories!L9*1.2</f>
        <v>-234435.6</v>
      </c>
      <c r="M10" s="41">
        <f>-Inventories!M9*1.2</f>
        <v>-13497431.687999999</v>
      </c>
      <c r="N10" s="41">
        <f>-Inventories!N9*1.2</f>
        <v>-12000000</v>
      </c>
      <c r="O10" s="41">
        <f>-Inventories!O9*1.2</f>
        <v>-12000000</v>
      </c>
      <c r="P10" s="41">
        <f>-Inventories!P9*1.2</f>
        <v>-9000000</v>
      </c>
    </row>
    <row r="11" spans="2:16" x14ac:dyDescent="0.2">
      <c r="C11" s="13" t="s">
        <v>56</v>
      </c>
      <c r="D11" s="13"/>
      <c r="E11" s="41">
        <f>+'P&amp;L'!H56-'P&amp;L'!H47-'P&amp;L'!H48-'P&amp;L'!H53</f>
        <v>-2370172.6179</v>
      </c>
      <c r="F11" s="41">
        <f>+'P&amp;L'!I56-'P&amp;L'!I47-'P&amp;L'!I48-'P&amp;L'!I53</f>
        <v>-2433822.7992000002</v>
      </c>
      <c r="G11" s="41">
        <f>+'P&amp;L'!J56-'P&amp;L'!J47-'P&amp;L'!J48-'P&amp;L'!J53</f>
        <v>-2775359.4509000005</v>
      </c>
      <c r="H11" s="41">
        <f>+'P&amp;L'!K56-'P&amp;L'!K47-'P&amp;L'!K48-'P&amp;L'!K53</f>
        <v>-2788734.6880000001</v>
      </c>
      <c r="I11" s="41">
        <f>+'P&amp;L'!L56-'P&amp;L'!L47-'P&amp;L'!L48-'P&amp;L'!L53</f>
        <v>-2233239.8147</v>
      </c>
      <c r="J11" s="41">
        <f>+'P&amp;L'!M56-'P&amp;L'!M47-'P&amp;L'!M48-'P&amp;L'!M53</f>
        <v>-2222599.0348000005</v>
      </c>
      <c r="K11" s="41">
        <f>+'P&amp;L'!N56-'P&amp;L'!N47-'P&amp;L'!N48-'P&amp;L'!N53</f>
        <v>-2367992.2051999997</v>
      </c>
      <c r="L11" s="41">
        <f>+'P&amp;L'!O56-'P&amp;L'!O47-'P&amp;L'!O48-'P&amp;L'!O53</f>
        <v>-2299550.1282000002</v>
      </c>
      <c r="M11" s="41">
        <f>+'P&amp;L'!P56-'P&amp;L'!P47-'P&amp;L'!P48-'P&amp;L'!P53</f>
        <v>-2413082.804</v>
      </c>
      <c r="N11" s="41">
        <f>+'P&amp;L'!Q56-'P&amp;L'!Q47-'P&amp;L'!Q48-'P&amp;L'!Q53</f>
        <v>-2162105</v>
      </c>
      <c r="O11" s="41">
        <f>+'P&amp;L'!R56-'P&amp;L'!R47-'P&amp;L'!R48-'P&amp;L'!R53</f>
        <v>-2162105</v>
      </c>
      <c r="P11" s="41">
        <f>+'P&amp;L'!S56-'P&amp;L'!S47-'P&amp;L'!S48-'P&amp;L'!S53</f>
        <v>-2162105</v>
      </c>
    </row>
    <row r="12" spans="2:16" x14ac:dyDescent="0.2">
      <c r="C12" s="13" t="s">
        <v>57</v>
      </c>
      <c r="D12" s="13"/>
      <c r="E12" s="41">
        <f>+'P&amp;L'!H47+'P&amp;L'!H48</f>
        <v>-704618</v>
      </c>
      <c r="F12" s="41">
        <f>+'P&amp;L'!I47+'P&amp;L'!I48</f>
        <v>-718980</v>
      </c>
      <c r="G12" s="41">
        <f>+'P&amp;L'!J47+'P&amp;L'!J48</f>
        <v>-985659</v>
      </c>
      <c r="H12" s="41">
        <f>+'P&amp;L'!K47+'P&amp;L'!K48</f>
        <v>-985659</v>
      </c>
      <c r="I12" s="41">
        <f>+'P&amp;L'!L47+'P&amp;L'!L48</f>
        <v>-976181</v>
      </c>
      <c r="J12" s="41">
        <f>+'P&amp;L'!M47+'P&amp;L'!M48</f>
        <v>-933734</v>
      </c>
      <c r="K12" s="41">
        <f>+'P&amp;L'!N47+'P&amp;L'!N48</f>
        <v>-967422</v>
      </c>
      <c r="L12" s="41">
        <f>+'P&amp;L'!O47+'P&amp;L'!O48</f>
        <v>-990244</v>
      </c>
      <c r="M12" s="41">
        <f>+'P&amp;L'!P47+'P&amp;L'!P48</f>
        <v>-990244</v>
      </c>
      <c r="N12" s="41">
        <f>+'P&amp;L'!Q47+'P&amp;L'!Q48</f>
        <v>-991950</v>
      </c>
      <c r="O12" s="41">
        <f>+'P&amp;L'!R47+'P&amp;L'!R48</f>
        <v>-991950</v>
      </c>
      <c r="P12" s="41">
        <f>+'P&amp;L'!S47+'P&amp;L'!S48</f>
        <v>-991950</v>
      </c>
    </row>
    <row r="13" spans="2:16" hidden="1" x14ac:dyDescent="0.2">
      <c r="C13" s="13" t="s">
        <v>58</v>
      </c>
      <c r="D13" s="1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</row>
    <row r="14" spans="2:16" x14ac:dyDescent="0.2">
      <c r="C14" s="13" t="s">
        <v>59</v>
      </c>
      <c r="D14" s="13"/>
      <c r="E14" s="41">
        <v>-174734</v>
      </c>
      <c r="F14" s="41">
        <v>-174734</v>
      </c>
      <c r="G14" s="41">
        <v>-174734</v>
      </c>
      <c r="H14" s="41">
        <v>-264841</v>
      </c>
      <c r="I14" s="41">
        <v>-264841</v>
      </c>
      <c r="J14" s="41">
        <v>-264841</v>
      </c>
      <c r="K14" s="41">
        <v>-264841</v>
      </c>
      <c r="L14" s="41">
        <v>-264841</v>
      </c>
      <c r="M14" s="41">
        <v>-264841</v>
      </c>
      <c r="N14" s="41">
        <v>-264841</v>
      </c>
      <c r="O14" s="41">
        <v>-264841</v>
      </c>
      <c r="P14" s="41">
        <v>-264841</v>
      </c>
    </row>
    <row r="15" spans="2:16" x14ac:dyDescent="0.2">
      <c r="B15" s="68" t="s">
        <v>60</v>
      </c>
      <c r="C15" s="68"/>
      <c r="D15" s="14"/>
      <c r="E15" s="15">
        <f>SUM(E8:E14)</f>
        <v>7755302.7340999953</v>
      </c>
      <c r="F15" s="15">
        <f>SUM(F8:F14)</f>
        <v>-7725961.8512000013</v>
      </c>
      <c r="G15" s="15">
        <f t="shared" ref="G15:P15" si="1">SUM(G8:G14)</f>
        <v>-8254197.7549000001</v>
      </c>
      <c r="H15" s="15">
        <f t="shared" si="1"/>
        <v>-12107410.051999997</v>
      </c>
      <c r="I15" s="15">
        <f t="shared" si="1"/>
        <v>23124488.797299996</v>
      </c>
      <c r="J15" s="15">
        <f t="shared" si="1"/>
        <v>5250459.5383999944</v>
      </c>
      <c r="K15" s="15">
        <f t="shared" si="1"/>
        <v>6988790.2043999974</v>
      </c>
      <c r="L15" s="15">
        <f t="shared" si="1"/>
        <v>4900619.2317999993</v>
      </c>
      <c r="M15" s="15">
        <f t="shared" si="1"/>
        <v>-3475620.7960000024</v>
      </c>
      <c r="N15" s="15">
        <f t="shared" si="1"/>
        <v>-2774109.9960000012</v>
      </c>
      <c r="O15" s="15">
        <f t="shared" si="1"/>
        <v>9181104</v>
      </c>
      <c r="P15" s="15">
        <f t="shared" si="1"/>
        <v>6181104</v>
      </c>
    </row>
    <row r="17" spans="1:18" x14ac:dyDescent="0.2">
      <c r="A17" s="16" t="s">
        <v>61</v>
      </c>
      <c r="B17" s="64" t="s">
        <v>62</v>
      </c>
      <c r="C17" s="64"/>
      <c r="D17" s="8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</row>
    <row r="18" spans="1:18" x14ac:dyDescent="0.2">
      <c r="B18" s="67" t="s">
        <v>63</v>
      </c>
      <c r="C18" s="67"/>
      <c r="D18" s="11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</row>
    <row r="19" spans="1:18" x14ac:dyDescent="0.2">
      <c r="C19" s="18" t="s">
        <v>64</v>
      </c>
      <c r="D19" s="18"/>
      <c r="E19" s="7">
        <v>1E-3</v>
      </c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R19" s="2">
        <v>2</v>
      </c>
    </row>
    <row r="20" spans="1:18" x14ac:dyDescent="0.2">
      <c r="C20" s="18" t="s">
        <v>65</v>
      </c>
      <c r="D20" s="1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</row>
    <row r="21" spans="1:18" hidden="1" x14ac:dyDescent="0.2">
      <c r="C21" s="18" t="s">
        <v>66</v>
      </c>
      <c r="D21" s="18"/>
      <c r="E21" s="7">
        <v>1E-3</v>
      </c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</row>
    <row r="22" spans="1:18" x14ac:dyDescent="0.2">
      <c r="B22" s="67" t="s">
        <v>54</v>
      </c>
      <c r="C22" s="67"/>
      <c r="D22" s="11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</row>
    <row r="23" spans="1:18" x14ac:dyDescent="0.2">
      <c r="C23" s="18" t="s">
        <v>67</v>
      </c>
      <c r="D23" s="18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R23" s="2">
        <v>2</v>
      </c>
    </row>
    <row r="24" spans="1:18" x14ac:dyDescent="0.2">
      <c r="C24" s="18" t="s">
        <v>68</v>
      </c>
      <c r="D24" s="18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</row>
    <row r="25" spans="1:18" hidden="1" x14ac:dyDescent="0.2">
      <c r="C25" s="18" t="s">
        <v>69</v>
      </c>
      <c r="D25" s="18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</row>
    <row r="26" spans="1:18" x14ac:dyDescent="0.2">
      <c r="B26" s="69" t="s">
        <v>70</v>
      </c>
      <c r="C26" s="69"/>
      <c r="D26" s="19"/>
      <c r="E26" s="15">
        <f>SUM(E18:E25)</f>
        <v>2E-3</v>
      </c>
      <c r="F26" s="15">
        <f>SUM(F18:F25)</f>
        <v>0</v>
      </c>
      <c r="G26" s="15">
        <f t="shared" ref="G26:P26" si="2">SUM(G18:G25)</f>
        <v>0</v>
      </c>
      <c r="H26" s="15">
        <f t="shared" si="2"/>
        <v>0</v>
      </c>
      <c r="I26" s="15">
        <f t="shared" si="2"/>
        <v>0</v>
      </c>
      <c r="J26" s="15">
        <f t="shared" si="2"/>
        <v>0</v>
      </c>
      <c r="K26" s="15">
        <f t="shared" si="2"/>
        <v>0</v>
      </c>
      <c r="L26" s="15">
        <f t="shared" si="2"/>
        <v>0</v>
      </c>
      <c r="M26" s="15">
        <f t="shared" si="2"/>
        <v>0</v>
      </c>
      <c r="N26" s="15">
        <f t="shared" si="2"/>
        <v>0</v>
      </c>
      <c r="O26" s="15">
        <f t="shared" si="2"/>
        <v>0</v>
      </c>
      <c r="P26" s="15">
        <f t="shared" si="2"/>
        <v>0</v>
      </c>
    </row>
    <row r="27" spans="1:18" x14ac:dyDescent="0.2">
      <c r="B27" s="16" t="s">
        <v>61</v>
      </c>
    </row>
    <row r="28" spans="1:18" x14ac:dyDescent="0.2">
      <c r="B28" s="64" t="s">
        <v>71</v>
      </c>
      <c r="C28" s="64"/>
      <c r="D28" s="8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</row>
    <row r="29" spans="1:18" x14ac:dyDescent="0.2">
      <c r="B29" s="67" t="s">
        <v>63</v>
      </c>
      <c r="C29" s="67"/>
      <c r="D29" s="11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</row>
    <row r="30" spans="1:18" x14ac:dyDescent="0.2">
      <c r="C30" s="18" t="s">
        <v>72</v>
      </c>
      <c r="D30" s="18"/>
      <c r="E30" s="7">
        <v>1E-3</v>
      </c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</row>
    <row r="31" spans="1:18" x14ac:dyDescent="0.2">
      <c r="C31" s="18" t="s">
        <v>172</v>
      </c>
      <c r="D31" s="18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</row>
    <row r="32" spans="1:18" x14ac:dyDescent="0.2">
      <c r="C32" s="18" t="s">
        <v>73</v>
      </c>
      <c r="D32" s="18"/>
      <c r="E32" s="7"/>
      <c r="F32" s="7">
        <v>2000000</v>
      </c>
      <c r="G32" s="7">
        <v>7500000</v>
      </c>
      <c r="H32" s="7">
        <v>13000000</v>
      </c>
      <c r="I32" s="7"/>
      <c r="J32" s="7"/>
      <c r="K32" s="7"/>
      <c r="L32" s="7"/>
      <c r="M32" s="7"/>
      <c r="N32" s="7"/>
      <c r="O32" s="7"/>
      <c r="P32" s="7"/>
    </row>
    <row r="33" spans="2:16" x14ac:dyDescent="0.2">
      <c r="B33" s="67" t="s">
        <v>54</v>
      </c>
      <c r="C33" s="67"/>
      <c r="D33" s="11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</row>
    <row r="34" spans="2:16" x14ac:dyDescent="0.2">
      <c r="C34" s="18" t="s">
        <v>171</v>
      </c>
      <c r="D34" s="18"/>
      <c r="E34" s="7">
        <v>-1E-3</v>
      </c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</row>
    <row r="35" spans="2:16" x14ac:dyDescent="0.2">
      <c r="C35" s="18" t="s">
        <v>74</v>
      </c>
      <c r="D35" s="18"/>
      <c r="E35" s="7">
        <v>-555555</v>
      </c>
      <c r="F35" s="7">
        <v>-555555</v>
      </c>
      <c r="G35" s="7">
        <v>-555555</v>
      </c>
      <c r="H35" s="7">
        <v>-555555</v>
      </c>
      <c r="I35" s="7">
        <v>-555555</v>
      </c>
      <c r="J35" s="7">
        <v>-555555</v>
      </c>
      <c r="K35" s="7">
        <v>-555555</v>
      </c>
      <c r="L35" s="7">
        <v>-555555</v>
      </c>
      <c r="M35" s="7">
        <v>-555555</v>
      </c>
      <c r="N35" s="7">
        <v>-555555</v>
      </c>
      <c r="O35" s="7">
        <v>-555555</v>
      </c>
      <c r="P35" s="7">
        <v>-555555</v>
      </c>
    </row>
    <row r="36" spans="2:16" x14ac:dyDescent="0.2">
      <c r="C36" s="18" t="s">
        <v>75</v>
      </c>
      <c r="D36" s="18"/>
      <c r="E36" s="7"/>
      <c r="F36" s="7"/>
      <c r="G36" s="7"/>
      <c r="H36" s="7"/>
      <c r="I36" s="7"/>
      <c r="J36" s="7"/>
      <c r="K36" s="7">
        <v>-10000000</v>
      </c>
      <c r="L36" s="7">
        <v>-10000000</v>
      </c>
      <c r="M36" s="7">
        <v>-10000000</v>
      </c>
      <c r="N36" s="7"/>
      <c r="O36" s="7">
        <v>-5000000</v>
      </c>
      <c r="P36" s="7">
        <v>-6000000</v>
      </c>
    </row>
    <row r="37" spans="2:16" x14ac:dyDescent="0.2">
      <c r="B37" s="69" t="s">
        <v>76</v>
      </c>
      <c r="C37" s="69"/>
      <c r="D37" s="19"/>
      <c r="E37" s="15">
        <f t="shared" ref="E37:P37" si="3">SUM(E29:E36)</f>
        <v>-555555</v>
      </c>
      <c r="F37" s="15">
        <f t="shared" si="3"/>
        <v>1444445</v>
      </c>
      <c r="G37" s="15">
        <f t="shared" si="3"/>
        <v>6944445</v>
      </c>
      <c r="H37" s="15">
        <f t="shared" si="3"/>
        <v>12444445</v>
      </c>
      <c r="I37" s="15">
        <f t="shared" si="3"/>
        <v>-555555</v>
      </c>
      <c r="J37" s="15">
        <f t="shared" si="3"/>
        <v>-555555</v>
      </c>
      <c r="K37" s="15">
        <f t="shared" si="3"/>
        <v>-10555555</v>
      </c>
      <c r="L37" s="15">
        <f t="shared" si="3"/>
        <v>-10555555</v>
      </c>
      <c r="M37" s="15">
        <f t="shared" si="3"/>
        <v>-10555555</v>
      </c>
      <c r="N37" s="15">
        <f t="shared" si="3"/>
        <v>-555555</v>
      </c>
      <c r="O37" s="15">
        <f t="shared" si="3"/>
        <v>-5555555</v>
      </c>
      <c r="P37" s="15">
        <f t="shared" si="3"/>
        <v>-6555555</v>
      </c>
    </row>
    <row r="39" spans="2:16" ht="13.5" thickBot="1" x14ac:dyDescent="0.25">
      <c r="B39" s="70" t="s">
        <v>77</v>
      </c>
      <c r="C39" s="70"/>
      <c r="D39" s="20"/>
      <c r="E39" s="21">
        <f t="shared" ref="E39:P39" si="4">E15+E26+E37</f>
        <v>7199747.7360999957</v>
      </c>
      <c r="F39" s="21">
        <f t="shared" si="4"/>
        <v>-6281516.8512000013</v>
      </c>
      <c r="G39" s="21">
        <f t="shared" si="4"/>
        <v>-1309752.7549000001</v>
      </c>
      <c r="H39" s="21">
        <f t="shared" si="4"/>
        <v>337034.94800000265</v>
      </c>
      <c r="I39" s="21">
        <f t="shared" si="4"/>
        <v>22568933.797299996</v>
      </c>
      <c r="J39" s="21">
        <f t="shared" si="4"/>
        <v>4694904.5383999944</v>
      </c>
      <c r="K39" s="21">
        <f t="shared" si="4"/>
        <v>-3566764.7956000026</v>
      </c>
      <c r="L39" s="21">
        <f t="shared" si="4"/>
        <v>-5654935.7682000007</v>
      </c>
      <c r="M39" s="21">
        <f t="shared" si="4"/>
        <v>-14031175.796000002</v>
      </c>
      <c r="N39" s="21">
        <f t="shared" si="4"/>
        <v>-3329664.9960000012</v>
      </c>
      <c r="O39" s="21">
        <f t="shared" si="4"/>
        <v>3625549</v>
      </c>
      <c r="P39" s="21">
        <f t="shared" si="4"/>
        <v>-374451</v>
      </c>
    </row>
    <row r="40" spans="2:16" ht="13.5" thickTop="1" x14ac:dyDescent="0.2"/>
    <row r="41" spans="2:16" x14ac:dyDescent="0.2">
      <c r="C41" s="5" t="s">
        <v>78</v>
      </c>
      <c r="D41" s="5"/>
      <c r="E41" s="44">
        <f t="shared" ref="E41:P41" si="5">E5+E39</f>
        <v>7626365.0526299933</v>
      </c>
      <c r="F41" s="44">
        <f t="shared" si="5"/>
        <v>1344848.201429992</v>
      </c>
      <c r="G41" s="44">
        <f t="shared" si="5"/>
        <v>35095.446529991925</v>
      </c>
      <c r="H41" s="44">
        <f t="shared" si="5"/>
        <v>372130.39452999458</v>
      </c>
      <c r="I41" s="44">
        <f t="shared" si="5"/>
        <v>22941064.191829991</v>
      </c>
      <c r="J41" s="44">
        <f t="shared" si="5"/>
        <v>27635968.730229985</v>
      </c>
      <c r="K41" s="44">
        <f t="shared" si="5"/>
        <v>24069203.934629984</v>
      </c>
      <c r="L41" s="44">
        <f t="shared" si="5"/>
        <v>18414268.166429982</v>
      </c>
      <c r="M41" s="44">
        <f t="shared" si="5"/>
        <v>4383092.3704299796</v>
      </c>
      <c r="N41" s="44">
        <f t="shared" si="5"/>
        <v>1053427.3744299784</v>
      </c>
      <c r="O41" s="44">
        <f t="shared" si="5"/>
        <v>4678976.3744299784</v>
      </c>
      <c r="P41" s="44">
        <f t="shared" si="5"/>
        <v>4304525.3744299784</v>
      </c>
    </row>
    <row r="42" spans="2:16" x14ac:dyDescent="0.2">
      <c r="B42" s="22" t="s">
        <v>79</v>
      </c>
      <c r="E42" s="23"/>
    </row>
    <row r="43" spans="2:16" x14ac:dyDescent="0.2">
      <c r="B43" s="2" t="s">
        <v>135</v>
      </c>
      <c r="E43" s="45" t="str">
        <f>+IF(E41&lt;0,E41,"NO")</f>
        <v>NO</v>
      </c>
      <c r="F43" s="45" t="str">
        <f t="shared" ref="F43:O43" si="6">+IF(F41&lt;0,F41,"NO")</f>
        <v>NO</v>
      </c>
      <c r="G43" s="45" t="str">
        <f t="shared" si="6"/>
        <v>NO</v>
      </c>
      <c r="H43" s="45" t="str">
        <f t="shared" si="6"/>
        <v>NO</v>
      </c>
      <c r="I43" s="45" t="str">
        <f t="shared" si="6"/>
        <v>NO</v>
      </c>
      <c r="J43" s="45" t="str">
        <f t="shared" si="6"/>
        <v>NO</v>
      </c>
      <c r="K43" s="45" t="str">
        <f t="shared" si="6"/>
        <v>NO</v>
      </c>
      <c r="L43" s="45" t="str">
        <f t="shared" si="6"/>
        <v>NO</v>
      </c>
      <c r="M43" s="45" t="str">
        <f t="shared" si="6"/>
        <v>NO</v>
      </c>
      <c r="N43" s="45" t="str">
        <f t="shared" si="6"/>
        <v>NO</v>
      </c>
      <c r="O43" s="45" t="str">
        <f t="shared" si="6"/>
        <v>NO</v>
      </c>
      <c r="P43" s="45">
        <f>+P41</f>
        <v>4304525.3744299784</v>
      </c>
    </row>
    <row r="46" spans="2:16" x14ac:dyDescent="0.2">
      <c r="C46" s="2" t="s">
        <v>215</v>
      </c>
      <c r="D46" s="2" t="s">
        <v>169</v>
      </c>
      <c r="E46" s="48">
        <v>-18791873</v>
      </c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</row>
    <row r="47" spans="2:16" x14ac:dyDescent="0.2">
      <c r="E47" s="48">
        <f t="shared" ref="E47:P47" si="7">-E32-E36</f>
        <v>0</v>
      </c>
      <c r="F47" s="48">
        <f t="shared" si="7"/>
        <v>-2000000</v>
      </c>
      <c r="G47" s="48">
        <f t="shared" si="7"/>
        <v>-7500000</v>
      </c>
      <c r="H47" s="48">
        <f t="shared" si="7"/>
        <v>-13000000</v>
      </c>
      <c r="I47" s="48">
        <f t="shared" si="7"/>
        <v>0</v>
      </c>
      <c r="J47" s="48">
        <f t="shared" si="7"/>
        <v>0</v>
      </c>
      <c r="K47" s="48">
        <f t="shared" si="7"/>
        <v>10000000</v>
      </c>
      <c r="L47" s="48">
        <f t="shared" si="7"/>
        <v>10000000</v>
      </c>
      <c r="M47" s="48">
        <f t="shared" si="7"/>
        <v>10000000</v>
      </c>
      <c r="N47" s="48">
        <f t="shared" si="7"/>
        <v>0</v>
      </c>
      <c r="O47" s="48">
        <f t="shared" si="7"/>
        <v>5000000</v>
      </c>
      <c r="P47" s="48">
        <f t="shared" si="7"/>
        <v>6000000</v>
      </c>
    </row>
    <row r="48" spans="2:16" x14ac:dyDescent="0.2">
      <c r="D48" s="2" t="s">
        <v>170</v>
      </c>
      <c r="E48" s="49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50">
        <f>+E46+SUM(E47:P47)</f>
        <v>-291873</v>
      </c>
    </row>
    <row r="50" spans="3:16" x14ac:dyDescent="0.2">
      <c r="C50" s="2" t="s">
        <v>216</v>
      </c>
      <c r="D50" s="2" t="s">
        <v>169</v>
      </c>
      <c r="E50" s="48">
        <v>-26693197</v>
      </c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</row>
    <row r="51" spans="3:16" x14ac:dyDescent="0.2">
      <c r="E51" s="48">
        <f>-E35</f>
        <v>555555</v>
      </c>
      <c r="F51" s="48">
        <f t="shared" ref="F51:P51" si="8">-F35</f>
        <v>555555</v>
      </c>
      <c r="G51" s="48">
        <f t="shared" si="8"/>
        <v>555555</v>
      </c>
      <c r="H51" s="48">
        <f t="shared" si="8"/>
        <v>555555</v>
      </c>
      <c r="I51" s="48">
        <f t="shared" si="8"/>
        <v>555555</v>
      </c>
      <c r="J51" s="48">
        <f t="shared" si="8"/>
        <v>555555</v>
      </c>
      <c r="K51" s="48">
        <f t="shared" si="8"/>
        <v>555555</v>
      </c>
      <c r="L51" s="48">
        <f t="shared" si="8"/>
        <v>555555</v>
      </c>
      <c r="M51" s="48">
        <f t="shared" si="8"/>
        <v>555555</v>
      </c>
      <c r="N51" s="48">
        <f>-N35</f>
        <v>555555</v>
      </c>
      <c r="O51" s="48">
        <f t="shared" si="8"/>
        <v>555555</v>
      </c>
      <c r="P51" s="48">
        <f t="shared" si="8"/>
        <v>555555</v>
      </c>
    </row>
    <row r="52" spans="3:16" x14ac:dyDescent="0.2">
      <c r="D52" s="2" t="s">
        <v>170</v>
      </c>
      <c r="E52" s="49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50">
        <f>+E50+SUM(E51:P51)</f>
        <v>-20026537</v>
      </c>
    </row>
  </sheetData>
  <mergeCells count="14">
    <mergeCell ref="B37:C37"/>
    <mergeCell ref="B39:C39"/>
    <mergeCell ref="B18:C18"/>
    <mergeCell ref="B22:C22"/>
    <mergeCell ref="B26:C26"/>
    <mergeCell ref="B28:C28"/>
    <mergeCell ref="B29:C29"/>
    <mergeCell ref="B33:C33"/>
    <mergeCell ref="B17:C17"/>
    <mergeCell ref="B3:E3"/>
    <mergeCell ref="B7:C7"/>
    <mergeCell ref="B8:C8"/>
    <mergeCell ref="B9:C9"/>
    <mergeCell ref="B15:C15"/>
  </mergeCell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 tint="-0.249977111117893"/>
  </sheetPr>
  <dimension ref="B1:R31"/>
  <sheetViews>
    <sheetView zoomScale="85" zoomScaleNormal="85" workbookViewId="0">
      <selection activeCell="C9" sqref="C9"/>
    </sheetView>
  </sheetViews>
  <sheetFormatPr defaultRowHeight="12.75" x14ac:dyDescent="0.2"/>
  <cols>
    <col min="1" max="2" width="3.7109375" style="2" customWidth="1"/>
    <col min="3" max="3" width="40.85546875" style="2" bestFit="1" customWidth="1"/>
    <col min="4" max="4" width="3.7109375" style="2" customWidth="1"/>
    <col min="5" max="16" width="12.7109375" style="2" customWidth="1"/>
    <col min="17" max="16384" width="9.140625" style="2"/>
  </cols>
  <sheetData>
    <row r="1" spans="2:18" x14ac:dyDescent="0.2">
      <c r="B1" s="1"/>
      <c r="C1" s="1"/>
      <c r="D1" s="1"/>
      <c r="E1" s="1"/>
    </row>
    <row r="2" spans="2:18" x14ac:dyDescent="0.2">
      <c r="B2" s="3" t="s">
        <v>80</v>
      </c>
      <c r="C2" s="3"/>
      <c r="D2" s="3"/>
      <c r="E2" s="3"/>
    </row>
    <row r="3" spans="2:18" x14ac:dyDescent="0.2">
      <c r="B3" s="72" t="s">
        <v>93</v>
      </c>
      <c r="C3" s="72"/>
      <c r="D3" s="72"/>
      <c r="E3" s="72"/>
      <c r="R3" s="2" t="s">
        <v>91</v>
      </c>
    </row>
    <row r="4" spans="2:18" x14ac:dyDescent="0.2">
      <c r="B4" s="4"/>
      <c r="C4" s="5" t="s">
        <v>50</v>
      </c>
      <c r="D4" s="5"/>
      <c r="E4" s="6">
        <v>42735</v>
      </c>
      <c r="F4" s="4"/>
    </row>
    <row r="5" spans="2:18" x14ac:dyDescent="0.2">
      <c r="C5" s="5" t="s">
        <v>86</v>
      </c>
      <c r="D5" s="5"/>
      <c r="E5" s="43">
        <v>53773299.88200029</v>
      </c>
      <c r="F5" s="26">
        <f>+E13</f>
        <v>48973423.28300029</v>
      </c>
      <c r="G5" s="26">
        <f t="shared" ref="G5:P5" si="0">+F13</f>
        <v>55738042.473000288</v>
      </c>
      <c r="H5" s="26">
        <f t="shared" si="0"/>
        <v>61439807.666000292</v>
      </c>
      <c r="I5" s="26">
        <f t="shared" si="0"/>
        <v>70488935.571000293</v>
      </c>
      <c r="J5" s="26">
        <f t="shared" si="0"/>
        <v>56348093.552000292</v>
      </c>
      <c r="K5" s="26">
        <f t="shared" si="0"/>
        <v>55105129.527000293</v>
      </c>
      <c r="L5" s="26">
        <f t="shared" si="0"/>
        <v>50549674.511000291</v>
      </c>
      <c r="M5" s="26">
        <f t="shared" si="0"/>
        <v>46445756.565000288</v>
      </c>
      <c r="N5" s="26">
        <f t="shared" si="0"/>
        <v>49879691.009000286</v>
      </c>
      <c r="O5" s="26">
        <f t="shared" si="0"/>
        <v>54929691.009000286</v>
      </c>
      <c r="P5" s="26">
        <f t="shared" si="0"/>
        <v>51479691.009000286</v>
      </c>
    </row>
    <row r="7" spans="2:18" x14ac:dyDescent="0.2">
      <c r="B7" s="64" t="s">
        <v>80</v>
      </c>
      <c r="C7" s="64"/>
      <c r="D7" s="8"/>
      <c r="E7" s="9">
        <v>42736</v>
      </c>
      <c r="F7" s="9">
        <v>42767</v>
      </c>
      <c r="G7" s="9">
        <v>42795</v>
      </c>
      <c r="H7" s="9">
        <v>42826</v>
      </c>
      <c r="I7" s="9">
        <v>42856</v>
      </c>
      <c r="J7" s="9">
        <v>42887</v>
      </c>
      <c r="K7" s="9">
        <v>42917</v>
      </c>
      <c r="L7" s="9">
        <v>42948</v>
      </c>
      <c r="M7" s="9">
        <v>42979</v>
      </c>
      <c r="N7" s="9">
        <v>43009</v>
      </c>
      <c r="O7" s="9">
        <v>43040</v>
      </c>
      <c r="P7" s="9">
        <v>43070</v>
      </c>
    </row>
    <row r="8" spans="2:18" s="24" customFormat="1" x14ac:dyDescent="0.2">
      <c r="C8" s="24" t="s">
        <v>81</v>
      </c>
      <c r="D8" s="25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</row>
    <row r="9" spans="2:18" s="24" customFormat="1" x14ac:dyDescent="0.2">
      <c r="C9" s="24" t="s">
        <v>82</v>
      </c>
      <c r="D9" s="25"/>
      <c r="E9" s="42">
        <f>+SUMIFS(lv!D:D,lv!$B:$B,"601")+SUMIFS(lv!D:D,lv!$B:$B,"605")</f>
        <v>0</v>
      </c>
      <c r="F9" s="42">
        <f>+SUMIFS(lv!E:E,lv!$B:$B,"601")+SUMIFS(lv!E:E,lv!$B:$B,"605")</f>
        <v>10091760.91</v>
      </c>
      <c r="G9" s="42">
        <f>+SUMIFS(lv!F:F,lv!$B:$B,"601")+SUMIFS(lv!F:F,lv!$B:$B,"605")</f>
        <v>11011854.810000001</v>
      </c>
      <c r="H9" s="42">
        <f>+SUMIFS(lv!G:G,lv!$B:$B,"601")+SUMIFS(lv!G:G,lv!$B:$B,"605")</f>
        <v>13415563.73</v>
      </c>
      <c r="I9" s="42">
        <f>+SUMIFS(lv!H:H,lv!$B:$B,"601")+SUMIFS(lv!H:H,lv!$B:$B,"605")</f>
        <v>171240</v>
      </c>
      <c r="J9" s="42">
        <f>+SUMIFS(lv!I:I,lv!$B:$B,"601")+SUMIFS(lv!I:I,lv!$B:$B,"605")</f>
        <v>5620886.8090000004</v>
      </c>
      <c r="K9" s="42">
        <f>+SUMIFS(lv!J:J,lv!$B:$B,"601")+SUMIFS(lv!J:J,lv!$B:$B,"605")</f>
        <v>320973.87200000003</v>
      </c>
      <c r="L9" s="42">
        <f>+SUMIFS(lv!K:K,lv!$B:$B,"601")+SUMIFS(lv!K:K,lv!$B:$B,"605")</f>
        <v>195363</v>
      </c>
      <c r="M9" s="42">
        <f>+SUMIFS(lv!L:L,lv!$B:$B,"601")+SUMIFS(lv!L:L,lv!$B:$B,"605")</f>
        <v>11247859.74</v>
      </c>
      <c r="N9" s="46">
        <v>10000000</v>
      </c>
      <c r="O9" s="46">
        <v>10000000</v>
      </c>
      <c r="P9" s="46">
        <v>7500000</v>
      </c>
      <c r="R9" s="24">
        <v>2</v>
      </c>
    </row>
    <row r="10" spans="2:18" s="24" customFormat="1" x14ac:dyDescent="0.2">
      <c r="C10" s="24" t="s">
        <v>83</v>
      </c>
      <c r="D10" s="25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</row>
    <row r="11" spans="2:18" s="24" customFormat="1" x14ac:dyDescent="0.2">
      <c r="C11" s="24" t="s">
        <v>84</v>
      </c>
      <c r="D11" s="25"/>
      <c r="E11" s="39">
        <f>+'P&amp;L'!H17+'P&amp;L'!H19</f>
        <v>-4799876.5990000004</v>
      </c>
      <c r="F11" s="39">
        <f>+'P&amp;L'!I17+'P&amp;L'!I19</f>
        <v>-3327141.7199999997</v>
      </c>
      <c r="G11" s="39">
        <f>+'P&amp;L'!J17+'P&amp;L'!J19</f>
        <v>-5310089.6170000006</v>
      </c>
      <c r="H11" s="39">
        <f>+'P&amp;L'!K17+'P&amp;L'!K19</f>
        <v>-4366435.8250000011</v>
      </c>
      <c r="I11" s="117">
        <f>+'P&amp;L'!L17+'P&amp;L'!L19</f>
        <v>-14312082.019000001</v>
      </c>
      <c r="J11" s="39">
        <f>+'P&amp;L'!M17+'P&amp;L'!M19</f>
        <v>-6863850.8339999998</v>
      </c>
      <c r="K11" s="39">
        <f>+'P&amp;L'!N17+'P&amp;L'!N19</f>
        <v>-4876428.8880000003</v>
      </c>
      <c r="L11" s="39">
        <f>+'P&amp;L'!O17+'P&amp;L'!O19</f>
        <v>-4299280.9460000005</v>
      </c>
      <c r="M11" s="39">
        <f>+'P&amp;L'!P17+'P&amp;L'!P19</f>
        <v>-7813925.2960000001</v>
      </c>
      <c r="N11" s="39">
        <f>+'P&amp;L'!Q17+'P&amp;L'!Q19</f>
        <v>-4950000</v>
      </c>
      <c r="O11" s="39">
        <f>+'P&amp;L'!R17+'P&amp;L'!R19</f>
        <v>-13450000</v>
      </c>
      <c r="P11" s="39">
        <f>+'P&amp;L'!S17+'P&amp;L'!S19</f>
        <v>-9200000</v>
      </c>
    </row>
    <row r="12" spans="2:18" s="24" customFormat="1" x14ac:dyDescent="0.2">
      <c r="C12" s="25" t="s">
        <v>85</v>
      </c>
      <c r="D12" s="25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</row>
    <row r="13" spans="2:18" ht="13.5" thickBot="1" x14ac:dyDescent="0.25">
      <c r="B13" s="71" t="s">
        <v>87</v>
      </c>
      <c r="C13" s="71"/>
      <c r="D13" s="20"/>
      <c r="E13" s="29">
        <f>+E5+SUM(E8:E12)</f>
        <v>48973423.28300029</v>
      </c>
      <c r="F13" s="29">
        <f>+F5+SUM(F8:F12)</f>
        <v>55738042.473000288</v>
      </c>
      <c r="G13" s="29">
        <f>+G5+SUM(G8:G12)</f>
        <v>61439807.666000292</v>
      </c>
      <c r="H13" s="29">
        <f>+H5+SUM(H8:H12)</f>
        <v>70488935.571000293</v>
      </c>
      <c r="I13" s="29">
        <f t="shared" ref="I13:P13" si="1">+I5+SUM(I8:I12)</f>
        <v>56348093.552000292</v>
      </c>
      <c r="J13" s="29">
        <f t="shared" si="1"/>
        <v>55105129.527000293</v>
      </c>
      <c r="K13" s="29">
        <f t="shared" si="1"/>
        <v>50549674.511000291</v>
      </c>
      <c r="L13" s="29">
        <f t="shared" si="1"/>
        <v>46445756.565000288</v>
      </c>
      <c r="M13" s="29">
        <f t="shared" si="1"/>
        <v>49879691.009000286</v>
      </c>
      <c r="N13" s="29">
        <f t="shared" si="1"/>
        <v>54929691.009000286</v>
      </c>
      <c r="O13" s="29">
        <f t="shared" si="1"/>
        <v>51479691.009000286</v>
      </c>
      <c r="P13" s="29">
        <f t="shared" si="1"/>
        <v>49779691.009000286</v>
      </c>
    </row>
    <row r="14" spans="2:18" ht="13.5" thickTop="1" x14ac:dyDescent="0.2"/>
    <row r="15" spans="2:18" x14ac:dyDescent="0.2">
      <c r="P15" s="30"/>
    </row>
    <row r="17" spans="2:16" x14ac:dyDescent="0.2">
      <c r="P17" s="30"/>
    </row>
    <row r="19" spans="2:16" x14ac:dyDescent="0.2">
      <c r="B19" s="2" t="s">
        <v>92</v>
      </c>
      <c r="P19" s="31"/>
    </row>
    <row r="20" spans="2:16" x14ac:dyDescent="0.2">
      <c r="B20" s="4"/>
      <c r="C20" s="5" t="s">
        <v>50</v>
      </c>
      <c r="D20" s="5"/>
      <c r="E20" s="6">
        <f>+E4</f>
        <v>42735</v>
      </c>
      <c r="F20" s="4"/>
    </row>
    <row r="21" spans="2:16" x14ac:dyDescent="0.2">
      <c r="C21" s="5" t="s">
        <v>86</v>
      </c>
      <c r="D21" s="5"/>
      <c r="E21" s="37">
        <f>+E5/140</f>
        <v>384094.99915714492</v>
      </c>
      <c r="F21" s="38">
        <f>+E29</f>
        <v>349810.16630714491</v>
      </c>
      <c r="G21" s="38">
        <f t="shared" ref="G21" si="2">+F29</f>
        <v>398128.87480714492</v>
      </c>
      <c r="H21" s="38">
        <f t="shared" ref="H21" si="3">+G29</f>
        <v>438855.7690428592</v>
      </c>
      <c r="I21" s="38">
        <f t="shared" ref="I21" si="4">+H29</f>
        <v>503492.39693571633</v>
      </c>
      <c r="J21" s="38">
        <f t="shared" ref="J21" si="5">+I29</f>
        <v>402486.38251428772</v>
      </c>
      <c r="K21" s="38">
        <f t="shared" ref="K21" si="6">+J29</f>
        <v>393608.06805000198</v>
      </c>
      <c r="L21" s="38">
        <f t="shared" ref="L21" si="7">+K29</f>
        <v>361069.10365000198</v>
      </c>
      <c r="M21" s="38">
        <f t="shared" ref="M21" si="8">+L29</f>
        <v>331755.40403571626</v>
      </c>
      <c r="N21" s="38">
        <f t="shared" ref="N21" si="9">+M29</f>
        <v>356283.50720714487</v>
      </c>
      <c r="O21" s="38">
        <f t="shared" ref="O21" si="10">+N29</f>
        <v>392354.93577857345</v>
      </c>
      <c r="P21" s="38">
        <f t="shared" ref="P21" si="11">+O29</f>
        <v>367712.07863571635</v>
      </c>
    </row>
    <row r="23" spans="2:16" x14ac:dyDescent="0.2">
      <c r="B23" s="64" t="s">
        <v>80</v>
      </c>
      <c r="C23" s="64"/>
      <c r="D23" s="32"/>
      <c r="E23" s="9">
        <f>+E7</f>
        <v>42736</v>
      </c>
      <c r="F23" s="9">
        <f t="shared" ref="F23:P23" si="12">+F7</f>
        <v>42767</v>
      </c>
      <c r="G23" s="9">
        <f t="shared" si="12"/>
        <v>42795</v>
      </c>
      <c r="H23" s="9">
        <f t="shared" si="12"/>
        <v>42826</v>
      </c>
      <c r="I23" s="9">
        <f t="shared" si="12"/>
        <v>42856</v>
      </c>
      <c r="J23" s="9">
        <f t="shared" si="12"/>
        <v>42887</v>
      </c>
      <c r="K23" s="9">
        <f t="shared" si="12"/>
        <v>42917</v>
      </c>
      <c r="L23" s="9">
        <f t="shared" si="12"/>
        <v>42948</v>
      </c>
      <c r="M23" s="9">
        <f t="shared" si="12"/>
        <v>42979</v>
      </c>
      <c r="N23" s="9">
        <f t="shared" si="12"/>
        <v>43009</v>
      </c>
      <c r="O23" s="9">
        <f t="shared" si="12"/>
        <v>43040</v>
      </c>
      <c r="P23" s="9">
        <f t="shared" si="12"/>
        <v>43070</v>
      </c>
    </row>
    <row r="24" spans="2:16" s="24" customFormat="1" x14ac:dyDescent="0.2">
      <c r="C24" s="24" t="s">
        <v>81</v>
      </c>
      <c r="D24" s="25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</row>
    <row r="25" spans="2:16" s="24" customFormat="1" x14ac:dyDescent="0.2">
      <c r="C25" s="24" t="s">
        <v>82</v>
      </c>
      <c r="D25" s="25"/>
      <c r="E25" s="34">
        <f>+E9/140</f>
        <v>0</v>
      </c>
      <c r="F25" s="34">
        <f>+F9/140</f>
        <v>72084.006500000003</v>
      </c>
      <c r="G25" s="34">
        <f t="shared" ref="G25:P25" si="13">+G9/140</f>
        <v>78656.105785714288</v>
      </c>
      <c r="H25" s="34">
        <f t="shared" si="13"/>
        <v>95825.455214285714</v>
      </c>
      <c r="I25" s="34">
        <f t="shared" si="13"/>
        <v>1223.1428571428571</v>
      </c>
      <c r="J25" s="34">
        <f t="shared" si="13"/>
        <v>40149.191492857142</v>
      </c>
      <c r="K25" s="34">
        <f t="shared" si="13"/>
        <v>2292.6705142857145</v>
      </c>
      <c r="L25" s="34">
        <f t="shared" si="13"/>
        <v>1395.45</v>
      </c>
      <c r="M25" s="34">
        <f t="shared" si="13"/>
        <v>80341.855285714293</v>
      </c>
      <c r="N25" s="34">
        <f t="shared" si="13"/>
        <v>71428.571428571435</v>
      </c>
      <c r="O25" s="34">
        <f t="shared" si="13"/>
        <v>71428.571428571435</v>
      </c>
      <c r="P25" s="34">
        <f t="shared" si="13"/>
        <v>53571.428571428572</v>
      </c>
    </row>
    <row r="26" spans="2:16" s="24" customFormat="1" x14ac:dyDescent="0.2">
      <c r="C26" s="24" t="s">
        <v>83</v>
      </c>
      <c r="D26" s="25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</row>
    <row r="27" spans="2:16" s="24" customFormat="1" x14ac:dyDescent="0.2">
      <c r="C27" s="24" t="s">
        <v>84</v>
      </c>
      <c r="D27" s="25"/>
      <c r="E27" s="34">
        <f>+E11/140</f>
        <v>-34284.832850000006</v>
      </c>
      <c r="F27" s="34">
        <f t="shared" ref="F27:P27" si="14">+F11/140</f>
        <v>-23765.297999999999</v>
      </c>
      <c r="G27" s="34">
        <f t="shared" si="14"/>
        <v>-37929.211550000007</v>
      </c>
      <c r="H27" s="34">
        <f t="shared" si="14"/>
        <v>-31188.82732142858</v>
      </c>
      <c r="I27" s="34">
        <f t="shared" si="14"/>
        <v>-102229.15727857144</v>
      </c>
      <c r="J27" s="34">
        <f t="shared" si="14"/>
        <v>-49027.505957142857</v>
      </c>
      <c r="K27" s="34">
        <f t="shared" si="14"/>
        <v>-34831.634914285714</v>
      </c>
      <c r="L27" s="34">
        <f t="shared" si="14"/>
        <v>-30709.149614285718</v>
      </c>
      <c r="M27" s="34">
        <f t="shared" si="14"/>
        <v>-55813.752114285715</v>
      </c>
      <c r="N27" s="34">
        <f t="shared" si="14"/>
        <v>-35357.142857142855</v>
      </c>
      <c r="O27" s="34">
        <f t="shared" si="14"/>
        <v>-96071.428571428565</v>
      </c>
      <c r="P27" s="34">
        <f t="shared" si="14"/>
        <v>-65714.28571428571</v>
      </c>
    </row>
    <row r="28" spans="2:16" s="24" customFormat="1" x14ac:dyDescent="0.2">
      <c r="C28" s="25" t="s">
        <v>85</v>
      </c>
      <c r="D28" s="2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</row>
    <row r="29" spans="2:16" ht="13.5" thickBot="1" x14ac:dyDescent="0.25">
      <c r="B29" s="71" t="s">
        <v>87</v>
      </c>
      <c r="C29" s="71"/>
      <c r="D29" s="33"/>
      <c r="E29" s="36">
        <f>+E21+SUM(E24:E28)</f>
        <v>349810.16630714491</v>
      </c>
      <c r="F29" s="36">
        <f t="shared" ref="F29:P29" si="15">+F21+SUM(F24:F28)</f>
        <v>398128.87480714492</v>
      </c>
      <c r="G29" s="36">
        <f t="shared" si="15"/>
        <v>438855.7690428592</v>
      </c>
      <c r="H29" s="36">
        <f t="shared" si="15"/>
        <v>503492.39693571633</v>
      </c>
      <c r="I29" s="36">
        <f t="shared" si="15"/>
        <v>402486.38251428772</v>
      </c>
      <c r="J29" s="36">
        <f t="shared" si="15"/>
        <v>393608.06805000198</v>
      </c>
      <c r="K29" s="36">
        <f t="shared" si="15"/>
        <v>361069.10365000198</v>
      </c>
      <c r="L29" s="36">
        <f t="shared" si="15"/>
        <v>331755.40403571626</v>
      </c>
      <c r="M29" s="36">
        <f t="shared" si="15"/>
        <v>356283.50720714487</v>
      </c>
      <c r="N29" s="36">
        <f t="shared" si="15"/>
        <v>392354.93577857345</v>
      </c>
      <c r="O29" s="36">
        <f t="shared" si="15"/>
        <v>367712.07863571635</v>
      </c>
      <c r="P29" s="36">
        <f t="shared" si="15"/>
        <v>355569.22149285919</v>
      </c>
    </row>
    <row r="30" spans="2:16" ht="13.5" thickTop="1" x14ac:dyDescent="0.2"/>
    <row r="31" spans="2:16" x14ac:dyDescent="0.2">
      <c r="F31" s="40">
        <f>+SUM(F25:J25)</f>
        <v>287937.90185000002</v>
      </c>
      <c r="L31" s="40">
        <f>+SUM(L25:P25)</f>
        <v>278165.87671428575</v>
      </c>
    </row>
  </sheetData>
  <mergeCells count="5">
    <mergeCell ref="B7:C7"/>
    <mergeCell ref="B13:C13"/>
    <mergeCell ref="B3:E3"/>
    <mergeCell ref="B23:C23"/>
    <mergeCell ref="B29:C29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 tint="-0.249977111117893"/>
  </sheetPr>
  <dimension ref="B1:P22"/>
  <sheetViews>
    <sheetView zoomScale="80" zoomScaleNormal="80" workbookViewId="0">
      <selection activeCell="F21" sqref="F21"/>
    </sheetView>
  </sheetViews>
  <sheetFormatPr defaultRowHeight="12.75" x14ac:dyDescent="0.2"/>
  <cols>
    <col min="1" max="2" width="3.7109375" style="2" customWidth="1"/>
    <col min="3" max="3" width="40.85546875" style="2" bestFit="1" customWidth="1"/>
    <col min="4" max="4" width="3.7109375" style="2" customWidth="1"/>
    <col min="5" max="16" width="12.7109375" style="2" customWidth="1"/>
    <col min="17" max="16384" width="9.140625" style="2"/>
  </cols>
  <sheetData>
    <row r="1" spans="2:16" x14ac:dyDescent="0.2">
      <c r="B1" s="1"/>
      <c r="C1" s="1"/>
      <c r="D1" s="1"/>
      <c r="E1" s="1"/>
    </row>
    <row r="2" spans="2:16" x14ac:dyDescent="0.2">
      <c r="B2" s="3" t="s">
        <v>94</v>
      </c>
      <c r="C2" s="3"/>
      <c r="D2" s="3"/>
      <c r="E2" s="3"/>
    </row>
    <row r="3" spans="2:16" x14ac:dyDescent="0.2">
      <c r="B3" s="72"/>
      <c r="C3" s="72"/>
      <c r="D3" s="72"/>
      <c r="E3" s="72"/>
    </row>
    <row r="4" spans="2:16" x14ac:dyDescent="0.2">
      <c r="B4" s="4"/>
      <c r="C4" s="5" t="s">
        <v>50</v>
      </c>
      <c r="D4" s="5"/>
      <c r="E4" s="6">
        <v>42735</v>
      </c>
      <c r="F4" s="4"/>
    </row>
    <row r="5" spans="2:16" x14ac:dyDescent="0.2">
      <c r="C5" s="5" t="s">
        <v>97</v>
      </c>
      <c r="D5" s="5"/>
      <c r="E5" s="43">
        <v>289941.17957985215</v>
      </c>
      <c r="F5" s="26">
        <f>+IF(E14&gt;0,E14,0)</f>
        <v>0</v>
      </c>
      <c r="G5" s="26">
        <f t="shared" ref="G5:P5" si="0">+IF(F14&gt;0,F14,0)</f>
        <v>1143939.9050000003</v>
      </c>
      <c r="H5" s="26">
        <f t="shared" si="0"/>
        <v>2331453.1690000002</v>
      </c>
      <c r="I5" s="26">
        <f t="shared" si="0"/>
        <v>4184478.5402200003</v>
      </c>
      <c r="J5" s="26">
        <f t="shared" si="0"/>
        <v>136474.62118000025</v>
      </c>
      <c r="K5" s="26">
        <f t="shared" si="0"/>
        <v>0</v>
      </c>
      <c r="L5" s="26">
        <f t="shared" si="0"/>
        <v>0</v>
      </c>
      <c r="M5" s="26">
        <f t="shared" si="0"/>
        <v>0</v>
      </c>
      <c r="N5" s="26">
        <f t="shared" si="0"/>
        <v>371709.08000000054</v>
      </c>
      <c r="O5" s="26">
        <f t="shared" si="0"/>
        <v>651125.74600000028</v>
      </c>
      <c r="P5" s="26">
        <f t="shared" si="0"/>
        <v>0</v>
      </c>
    </row>
    <row r="7" spans="2:16" x14ac:dyDescent="0.2">
      <c r="B7" s="64" t="s">
        <v>80</v>
      </c>
      <c r="C7" s="64"/>
      <c r="D7" s="32"/>
      <c r="E7" s="9">
        <v>42736</v>
      </c>
      <c r="F7" s="9">
        <v>42767</v>
      </c>
      <c r="G7" s="9">
        <v>42795</v>
      </c>
      <c r="H7" s="9">
        <v>42826</v>
      </c>
      <c r="I7" s="9">
        <v>42856</v>
      </c>
      <c r="J7" s="9">
        <v>42887</v>
      </c>
      <c r="K7" s="9">
        <v>42917</v>
      </c>
      <c r="L7" s="9">
        <v>42948</v>
      </c>
      <c r="M7" s="9">
        <v>42979</v>
      </c>
      <c r="N7" s="9">
        <v>43009</v>
      </c>
      <c r="O7" s="9">
        <v>43040</v>
      </c>
      <c r="P7" s="9">
        <v>43070</v>
      </c>
    </row>
    <row r="8" spans="2:16" s="24" customFormat="1" x14ac:dyDescent="0.2">
      <c r="C8" s="24" t="s">
        <v>82</v>
      </c>
      <c r="D8" s="25"/>
      <c r="E8" s="27">
        <f>(-'P&amp;L'!H56+'P&amp;L'!H34+'P&amp;L'!H36+'P&amp;L'!H37+'P&amp;L'!H38+'P&amp;L'!H42+'P&amp;L'!H44+'P&amp;L'!H45+'P&amp;L'!H46+'P&amp;L'!H47+'P&amp;L'!H48+'P&amp;L'!H49+'P&amp;L'!H50+'P&amp;L'!H51+'P&amp;L'!H52+'P&amp;L'!H53)*0.2</f>
        <v>406928.15357999998</v>
      </c>
      <c r="F8" s="27">
        <f>(-'P&amp;L'!I56+'P&amp;L'!I34+'P&amp;L'!I36+'P&amp;L'!I37+'P&amp;L'!I38+'P&amp;L'!I42+'P&amp;L'!I44+'P&amp;L'!I45+'P&amp;L'!I46+'P&amp;L'!I47+'P&amp;L'!I48+'P&amp;L'!I49+'P&amp;L'!I50+'P&amp;L'!I51+'P&amp;L'!I52+'P&amp;L'!I53)*0.2</f>
        <v>410869.06300000008</v>
      </c>
      <c r="G8" s="27">
        <f>(-'P&amp;L'!J56+'P&amp;L'!J34+'P&amp;L'!J36+'P&amp;L'!J37+'P&amp;L'!J38+'P&amp;L'!J42+'P&amp;L'!J44+'P&amp;L'!J45+'P&amp;L'!J46+'P&amp;L'!J47+'P&amp;L'!J48+'P&amp;L'!J49+'P&amp;L'!J50+'P&amp;L'!J51+'P&amp;L'!J52+'P&amp;L'!J53)*0.2</f>
        <v>467772.38000000012</v>
      </c>
      <c r="H8" s="27">
        <f>(-'P&amp;L'!K56+'P&amp;L'!K34+'P&amp;L'!K36+'P&amp;L'!K37+'P&amp;L'!K38+'P&amp;L'!K42+'P&amp;L'!K44+'P&amp;L'!K45+'P&amp;L'!K46+'P&amp;L'!K47+'P&amp;L'!K48+'P&amp;L'!K49+'P&amp;L'!K50+'P&amp;L'!K51+'P&amp;L'!K52+'P&amp;L'!K53)*0.2</f>
        <v>508329.47722000006</v>
      </c>
      <c r="I8" s="27">
        <f>(-'P&amp;L'!L56+'P&amp;L'!L34+'P&amp;L'!L36+'P&amp;L'!L37+'P&amp;L'!L38+'P&amp;L'!L42+'P&amp;L'!L44+'P&amp;L'!L45+'P&amp;L'!L46+'P&amp;L'!L47+'P&amp;L'!L48+'P&amp;L'!L49+'P&amp;L'!L50+'P&amp;L'!L51+'P&amp;L'!L52+'P&amp;L'!L53)*0.2</f>
        <v>385121.18296000001</v>
      </c>
      <c r="J8" s="27">
        <f>(-'P&amp;L'!M56+'P&amp;L'!M34+'P&amp;L'!M36+'P&amp;L'!M37+'P&amp;L'!M38+'P&amp;L'!M42+'P&amp;L'!M44+'P&amp;L'!M45+'P&amp;L'!M46+'P&amp;L'!M47+'P&amp;L'!M48+'P&amp;L'!M49+'P&amp;L'!M50+'P&amp;L'!M51+'P&amp;L'!M52+'P&amp;L'!M53)*0.2</f>
        <v>401170.21295999998</v>
      </c>
      <c r="K8" s="27">
        <f>(-'P&amp;L'!N56+'P&amp;L'!N34+'P&amp;L'!N36+'P&amp;L'!N37+'P&amp;L'!N38+'P&amp;L'!N42+'P&amp;L'!N44+'P&amp;L'!N45+'P&amp;L'!N46+'P&amp;L'!N47+'P&amp;L'!N48+'P&amp;L'!N49+'P&amp;L'!N50+'P&amp;L'!N51+'P&amp;L'!N52+'P&amp;L'!N53)*0.2</f>
        <v>428527.37205999997</v>
      </c>
      <c r="L8" s="27">
        <f>(-'P&amp;L'!O56+'P&amp;L'!O34+'P&amp;L'!O36+'P&amp;L'!O37+'P&amp;L'!O38+'P&amp;L'!O42+'P&amp;L'!O44+'P&amp;L'!O45+'P&amp;L'!O46+'P&amp;L'!O47+'P&amp;L'!O48+'P&amp;L'!O49+'P&amp;L'!O50+'P&amp;L'!O51+'P&amp;L'!O52+'P&amp;L'!O53)*0.2</f>
        <v>414335.26764000003</v>
      </c>
      <c r="M8" s="27">
        <f>(-'P&amp;L'!P56+'P&amp;L'!P34+'P&amp;L'!P36+'P&amp;L'!P37+'P&amp;L'!P38+'P&amp;L'!P42+'P&amp;L'!P44+'P&amp;L'!P45+'P&amp;L'!P46+'P&amp;L'!P47+'P&amp;L'!P48+'P&amp;L'!P49+'P&amp;L'!P50+'P&amp;L'!P51+'P&amp;L'!P52+'P&amp;L'!P53)*0.2</f>
        <v>403800.24800000008</v>
      </c>
      <c r="N8" s="27">
        <f>(-'P&amp;L'!Q56+'P&amp;L'!Q34+'P&amp;L'!Q36+'P&amp;L'!Q37+'P&amp;L'!Q38+'P&amp;L'!Q42+'P&amp;L'!Q44+'P&amp;L'!Q45+'P&amp;L'!Q46+'P&amp;L'!Q47+'P&amp;L'!Q48+'P&amp;L'!Q49+'P&amp;L'!Q50+'P&amp;L'!Q51+'P&amp;L'!Q52+'P&amp;L'!Q53)*0.2</f>
        <v>386881</v>
      </c>
      <c r="O8" s="27">
        <f>(-'P&amp;L'!R56+'P&amp;L'!R34+'P&amp;L'!R36+'P&amp;L'!R37+'P&amp;L'!R38+'P&amp;L'!R42+'P&amp;L'!R44+'P&amp;L'!R45+'P&amp;L'!R46+'P&amp;L'!R47+'P&amp;L'!R48+'P&amp;L'!R49+'P&amp;L'!R50+'P&amp;L'!R51+'P&amp;L'!R52+'P&amp;L'!R53)*0.2</f>
        <v>386881</v>
      </c>
      <c r="P8" s="27">
        <f>(-'P&amp;L'!S56+'P&amp;L'!S34+'P&amp;L'!S36+'P&amp;L'!S37+'P&amp;L'!S38+'P&amp;L'!S42+'P&amp;L'!S44+'P&amp;L'!S45+'P&amp;L'!S46+'P&amp;L'!S47+'P&amp;L'!S48+'P&amp;L'!S49+'P&amp;L'!S50+'P&amp;L'!S51+'P&amp;L'!S52+'P&amp;L'!S53)*0.2</f>
        <v>386881</v>
      </c>
    </row>
    <row r="9" spans="2:16" s="24" customFormat="1" x14ac:dyDescent="0.2">
      <c r="C9" s="24" t="s">
        <v>80</v>
      </c>
      <c r="D9" s="25"/>
      <c r="E9" s="27">
        <f>+Inventories!E9*0.2</f>
        <v>0</v>
      </c>
      <c r="F9" s="27">
        <f>+Inventories!F9*0.2</f>
        <v>2018352.182</v>
      </c>
      <c r="G9" s="27">
        <f>+Inventories!G9*0.2</f>
        <v>2202370.9620000003</v>
      </c>
      <c r="H9" s="27">
        <f>+Inventories!H9*0.2</f>
        <v>2683112.7460000003</v>
      </c>
      <c r="I9" s="27">
        <f>+Inventories!I9*0.2</f>
        <v>34248</v>
      </c>
      <c r="J9" s="27">
        <f>+Inventories!J9*0.2</f>
        <v>1124177.3618000001</v>
      </c>
      <c r="K9" s="27">
        <f>+Inventories!K9*0.2</f>
        <v>64194.774400000009</v>
      </c>
      <c r="L9" s="27">
        <f>+Inventories!L9*0.2</f>
        <v>39072.6</v>
      </c>
      <c r="M9" s="27">
        <f>+Inventories!M9*0.2</f>
        <v>2249571.9480000003</v>
      </c>
      <c r="N9" s="27">
        <f>+Inventories!N9*0.2</f>
        <v>2000000</v>
      </c>
      <c r="O9" s="27">
        <f>+Inventories!O9*0.2</f>
        <v>2000000</v>
      </c>
      <c r="P9" s="27">
        <f>+Inventories!P9*0.2</f>
        <v>1500000</v>
      </c>
    </row>
    <row r="10" spans="2:16" s="24" customFormat="1" x14ac:dyDescent="0.2">
      <c r="C10" s="24" t="s">
        <v>95</v>
      </c>
      <c r="D10" s="25"/>
      <c r="E10" s="27">
        <v>425436</v>
      </c>
      <c r="F10" s="27"/>
      <c r="G10" s="27">
        <f>-CashFlow!G23*0.2</f>
        <v>0</v>
      </c>
      <c r="H10" s="27">
        <f>-CashFlow!H23*0.2</f>
        <v>0</v>
      </c>
      <c r="I10" s="27">
        <f>-CashFlow!I23*0.2</f>
        <v>0</v>
      </c>
      <c r="J10" s="27">
        <f>-CashFlow!J23*0.2+907627-564095</f>
        <v>343532</v>
      </c>
      <c r="K10" s="27">
        <f>-CashFlow!K23*0.2+1336314-1281730</f>
        <v>54584</v>
      </c>
      <c r="L10" s="27">
        <f>-CashFlow!L23*0.2</f>
        <v>0</v>
      </c>
      <c r="M10" s="27">
        <f>-CashFlow!M23*0.2</f>
        <v>0</v>
      </c>
      <c r="N10" s="27">
        <f>-CashFlow!N23*0.2</f>
        <v>0</v>
      </c>
      <c r="O10" s="27">
        <f>-CashFlow!O23*0.2</f>
        <v>0</v>
      </c>
      <c r="P10" s="27">
        <f>-CashFlow!P23*0.2</f>
        <v>0</v>
      </c>
    </row>
    <row r="11" spans="2:16" s="24" customFormat="1" x14ac:dyDescent="0.2">
      <c r="D11" s="25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</row>
    <row r="12" spans="2:16" s="24" customFormat="1" x14ac:dyDescent="0.2">
      <c r="C12" s="24" t="s">
        <v>96</v>
      </c>
      <c r="D12" s="25"/>
      <c r="E12" s="39">
        <f>-'P&amp;L'!H14*0.2</f>
        <v>-1834137.8919999995</v>
      </c>
      <c r="F12" s="39">
        <f>-'P&amp;L'!I14*0.2</f>
        <v>-1285281.3399999999</v>
      </c>
      <c r="G12" s="39">
        <f>-'P&amp;L'!J14*0.2</f>
        <v>-1482630.0780000002</v>
      </c>
      <c r="H12" s="39">
        <f>-'P&amp;L'!K14*0.2</f>
        <v>-1338416.8520000004</v>
      </c>
      <c r="I12" s="39">
        <f>-'P&amp;L'!L14*0.2</f>
        <v>-4467373.102</v>
      </c>
      <c r="J12" s="39">
        <f>-'P&amp;L'!M14*0.2</f>
        <v>-2569449.6239999998</v>
      </c>
      <c r="K12" s="39">
        <f>-'P&amp;L'!N14*0.2</f>
        <v>-1829035.676</v>
      </c>
      <c r="L12" s="39">
        <f>-'P&amp;L'!O14*0.2</f>
        <v>-1448281.66</v>
      </c>
      <c r="M12" s="39">
        <f>-'P&amp;L'!P14*0.2</f>
        <v>-2281663.1159999999</v>
      </c>
      <c r="N12" s="39">
        <f>-'P&amp;L'!Q14*0.2</f>
        <v>-2107464.3340000003</v>
      </c>
      <c r="O12" s="39">
        <f>-'P&amp;L'!R14*0.2</f>
        <v>-4100000</v>
      </c>
      <c r="P12" s="39">
        <f>-'P&amp;L'!S14*0.2</f>
        <v>-3100000</v>
      </c>
    </row>
    <row r="13" spans="2:16" s="24" customFormat="1" x14ac:dyDescent="0.2">
      <c r="C13" s="25" t="s">
        <v>95</v>
      </c>
      <c r="D13" s="25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</row>
    <row r="14" spans="2:16" ht="13.5" thickBot="1" x14ac:dyDescent="0.25">
      <c r="B14" s="71" t="s">
        <v>98</v>
      </c>
      <c r="C14" s="71"/>
      <c r="D14" s="33"/>
      <c r="E14" s="29">
        <f>+E5+SUM(E8:E13)</f>
        <v>-711832.55884014745</v>
      </c>
      <c r="F14" s="29">
        <f t="shared" ref="F14:P14" si="1">+F5+SUM(F8:F13)</f>
        <v>1143939.9050000003</v>
      </c>
      <c r="G14" s="29">
        <f t="shared" si="1"/>
        <v>2331453.1690000002</v>
      </c>
      <c r="H14" s="29">
        <f t="shared" si="1"/>
        <v>4184478.5402200003</v>
      </c>
      <c r="I14" s="29">
        <f t="shared" si="1"/>
        <v>136474.62118000025</v>
      </c>
      <c r="J14" s="29">
        <f t="shared" si="1"/>
        <v>-564095.4280599996</v>
      </c>
      <c r="K14" s="29">
        <f t="shared" si="1"/>
        <v>-1281729.52954</v>
      </c>
      <c r="L14" s="29">
        <f t="shared" si="1"/>
        <v>-994873.79235999985</v>
      </c>
      <c r="M14" s="29">
        <f t="shared" si="1"/>
        <v>371709.08000000054</v>
      </c>
      <c r="N14" s="29">
        <f t="shared" si="1"/>
        <v>651125.74600000028</v>
      </c>
      <c r="O14" s="29">
        <f t="shared" si="1"/>
        <v>-1061993.2539999997</v>
      </c>
      <c r="P14" s="29">
        <f t="shared" si="1"/>
        <v>-1213119</v>
      </c>
    </row>
    <row r="15" spans="2:16" ht="13.5" thickTop="1" x14ac:dyDescent="0.2"/>
    <row r="16" spans="2:16" s="57" customFormat="1" x14ac:dyDescent="0.2">
      <c r="B16" s="57" t="s">
        <v>128</v>
      </c>
      <c r="E16" s="58">
        <f>+IF(E14&lt;0,E14,"NO")</f>
        <v>-711832.55884014745</v>
      </c>
      <c r="F16" s="58" t="str">
        <f t="shared" ref="F16:P16" si="2">+IF(F14&lt;0,F14,"NO")</f>
        <v>NO</v>
      </c>
      <c r="G16" s="58" t="str">
        <f t="shared" si="2"/>
        <v>NO</v>
      </c>
      <c r="H16" s="58" t="str">
        <f t="shared" si="2"/>
        <v>NO</v>
      </c>
      <c r="I16" s="58" t="str">
        <f t="shared" si="2"/>
        <v>NO</v>
      </c>
      <c r="J16" s="58">
        <f t="shared" si="2"/>
        <v>-564095.4280599996</v>
      </c>
      <c r="K16" s="58">
        <f t="shared" si="2"/>
        <v>-1281729.52954</v>
      </c>
      <c r="L16" s="58">
        <f t="shared" si="2"/>
        <v>-994873.79235999985</v>
      </c>
      <c r="M16" s="58" t="str">
        <f t="shared" si="2"/>
        <v>NO</v>
      </c>
      <c r="N16" s="58" t="str">
        <f t="shared" si="2"/>
        <v>NO</v>
      </c>
      <c r="O16" s="58">
        <f t="shared" si="2"/>
        <v>-1061993.2539999997</v>
      </c>
      <c r="P16" s="58">
        <f t="shared" si="2"/>
        <v>-1213119</v>
      </c>
    </row>
    <row r="18" spans="2:16" x14ac:dyDescent="0.2">
      <c r="B18" s="2" t="s">
        <v>217</v>
      </c>
      <c r="E18" s="31">
        <f>-SUM(E16:P16)</f>
        <v>5827643.5628001466</v>
      </c>
      <c r="P18" s="30"/>
    </row>
    <row r="20" spans="2:16" x14ac:dyDescent="0.2">
      <c r="B20" s="2" t="s">
        <v>218</v>
      </c>
      <c r="E20" s="54">
        <f>+'P&amp;L'!T14</f>
        <v>139218668.37</v>
      </c>
      <c r="F20" s="31"/>
      <c r="G20" s="31"/>
      <c r="H20" s="31"/>
      <c r="I20" s="31"/>
      <c r="J20" s="31"/>
    </row>
    <row r="22" spans="2:16" x14ac:dyDescent="0.2">
      <c r="B22" s="2" t="s">
        <v>219</v>
      </c>
      <c r="E22" s="55">
        <f>+E18/E20</f>
        <v>4.1859641605765677E-2</v>
      </c>
    </row>
  </sheetData>
  <mergeCells count="3">
    <mergeCell ref="B3:E3"/>
    <mergeCell ref="B7:C7"/>
    <mergeCell ref="B14:C14"/>
  </mergeCells>
  <conditionalFormatting sqref="E5:P5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:AJ3"/>
  <sheetViews>
    <sheetView workbookViewId="0">
      <selection activeCell="P13" sqref="P13"/>
    </sheetView>
  </sheetViews>
  <sheetFormatPr defaultRowHeight="12.75" x14ac:dyDescent="0.2"/>
  <cols>
    <col min="1" max="1" width="5.28515625" style="59" bestFit="1" customWidth="1"/>
    <col min="2" max="2" width="20.42578125" style="59" bestFit="1" customWidth="1"/>
    <col min="3" max="3" width="11.28515625" style="59" bestFit="1" customWidth="1"/>
    <col min="4" max="4" width="5.5703125" style="59" bestFit="1" customWidth="1"/>
    <col min="5" max="5" width="9.5703125" style="59" bestFit="1" customWidth="1"/>
    <col min="6" max="15" width="2.7109375" style="59" customWidth="1"/>
    <col min="16" max="16" width="8" style="59" bestFit="1" customWidth="1"/>
    <col min="17" max="17" width="2.7109375" style="59" customWidth="1"/>
    <col min="18" max="21" width="5" style="59" bestFit="1" customWidth="1"/>
    <col min="22" max="26" width="10.7109375" style="59" customWidth="1"/>
    <col min="27" max="27" width="2.7109375" style="59" customWidth="1"/>
    <col min="28" max="28" width="6.85546875" style="59" bestFit="1" customWidth="1"/>
    <col min="29" max="29" width="8.28515625" style="59" bestFit="1" customWidth="1"/>
    <col min="30" max="30" width="8.7109375" style="59" bestFit="1" customWidth="1"/>
    <col min="31" max="31" width="9.140625" style="59" bestFit="1" customWidth="1"/>
    <col min="32" max="32" width="8.7109375" style="59" bestFit="1" customWidth="1"/>
    <col min="33" max="33" width="10.7109375" style="59" customWidth="1"/>
    <col min="34" max="34" width="10.140625" style="59" bestFit="1" customWidth="1"/>
    <col min="35" max="35" width="10.7109375" style="59" customWidth="1"/>
    <col min="36" max="36" width="21.7109375" style="59" bestFit="1" customWidth="1"/>
    <col min="37" max="16384" width="9.140625" style="59"/>
  </cols>
  <sheetData>
    <row r="1" spans="1:36" x14ac:dyDescent="0.2">
      <c r="AB1" s="59">
        <v>0.1</v>
      </c>
      <c r="AC1" s="59">
        <v>0.05</v>
      </c>
    </row>
    <row r="2" spans="1:36" s="61" customFormat="1" ht="25.5" x14ac:dyDescent="0.2">
      <c r="A2" s="61" t="s">
        <v>227</v>
      </c>
      <c r="B2" s="61" t="s">
        <v>228</v>
      </c>
      <c r="C2" s="61" t="s">
        <v>229</v>
      </c>
      <c r="D2" s="61" t="s">
        <v>230</v>
      </c>
      <c r="E2" s="61" t="s">
        <v>231</v>
      </c>
      <c r="G2" s="63" t="s">
        <v>232</v>
      </c>
      <c r="H2" s="63" t="s">
        <v>233</v>
      </c>
      <c r="I2" s="63" t="s">
        <v>234</v>
      </c>
      <c r="J2" s="63" t="s">
        <v>235</v>
      </c>
      <c r="K2" s="63" t="s">
        <v>236</v>
      </c>
      <c r="L2" s="63" t="s">
        <v>237</v>
      </c>
      <c r="M2" s="63" t="s">
        <v>238</v>
      </c>
      <c r="N2" s="63" t="s">
        <v>237</v>
      </c>
      <c r="P2" s="61" t="s">
        <v>239</v>
      </c>
      <c r="R2" s="61">
        <v>2009</v>
      </c>
      <c r="S2" s="61">
        <v>2010</v>
      </c>
      <c r="T2" s="61">
        <v>2011</v>
      </c>
      <c r="U2" s="61">
        <v>2012</v>
      </c>
      <c r="V2" s="61">
        <v>2013</v>
      </c>
      <c r="W2" s="61">
        <v>2014</v>
      </c>
      <c r="X2" s="61">
        <v>2015</v>
      </c>
      <c r="Y2" s="61">
        <v>2016</v>
      </c>
      <c r="Z2" s="61" t="s">
        <v>240</v>
      </c>
      <c r="AB2" s="61" t="s">
        <v>241</v>
      </c>
      <c r="AC2" s="61" t="s">
        <v>242</v>
      </c>
      <c r="AD2" s="61" t="s">
        <v>243</v>
      </c>
      <c r="AE2" s="61" t="s">
        <v>244</v>
      </c>
      <c r="AF2" s="61" t="s">
        <v>245</v>
      </c>
      <c r="AG2" s="61" t="s">
        <v>246</v>
      </c>
      <c r="AH2" s="61" t="s">
        <v>247</v>
      </c>
      <c r="AI2" s="61" t="s">
        <v>248</v>
      </c>
    </row>
    <row r="3" spans="1:36" x14ac:dyDescent="0.2">
      <c r="A3" s="59">
        <v>15</v>
      </c>
      <c r="B3" s="59" t="s">
        <v>253</v>
      </c>
      <c r="C3" s="59" t="s">
        <v>254</v>
      </c>
      <c r="D3" s="59" t="s">
        <v>249</v>
      </c>
      <c r="E3" s="59" t="s">
        <v>250</v>
      </c>
      <c r="G3" s="59" t="s">
        <v>251</v>
      </c>
      <c r="H3" s="59" t="s">
        <v>251</v>
      </c>
      <c r="I3" s="59" t="s">
        <v>251</v>
      </c>
      <c r="J3" s="59" t="s">
        <v>251</v>
      </c>
      <c r="K3" s="59" t="s">
        <v>255</v>
      </c>
      <c r="L3" s="59" t="s">
        <v>252</v>
      </c>
      <c r="M3" s="59" t="s">
        <v>254</v>
      </c>
      <c r="N3" s="59" t="s">
        <v>252</v>
      </c>
      <c r="V3" s="62">
        <v>1753843.3169400892</v>
      </c>
      <c r="W3" s="60">
        <v>11455664.322960405</v>
      </c>
      <c r="X3" s="60">
        <v>11876971.028500002</v>
      </c>
      <c r="Y3" s="60">
        <v>17820212.435942996</v>
      </c>
      <c r="Z3" s="60">
        <v>42906691.104343504</v>
      </c>
      <c r="AA3" s="60"/>
      <c r="AB3" s="60"/>
      <c r="AC3" s="60"/>
      <c r="AD3" s="60"/>
      <c r="AE3" s="62">
        <f>+V3</f>
        <v>1753843.3169400892</v>
      </c>
      <c r="AF3" s="60"/>
      <c r="AG3" s="60"/>
      <c r="AH3" s="60">
        <v>41925352</v>
      </c>
      <c r="AI3" s="62">
        <f>+AE3*0.15</f>
        <v>263076.49754101335</v>
      </c>
      <c r="AJ3" s="60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105"/>
  <sheetViews>
    <sheetView zoomScale="85" zoomScaleNormal="85" workbookViewId="0">
      <pane ySplit="1" topLeftCell="A48" activePane="bottomLeft" state="frozen"/>
      <selection pane="bottomLeft" activeCell="E56" sqref="E56"/>
    </sheetView>
  </sheetViews>
  <sheetFormatPr defaultRowHeight="12.75" x14ac:dyDescent="0.2"/>
  <cols>
    <col min="1" max="1" width="18.140625" style="51" bestFit="1" customWidth="1"/>
    <col min="2" max="2" width="11.42578125" style="51" bestFit="1" customWidth="1"/>
    <col min="3" max="3" width="36.42578125" style="51" bestFit="1" customWidth="1"/>
    <col min="4" max="13" width="10.7109375" style="53" customWidth="1"/>
    <col min="14" max="15" width="10.7109375" style="52" customWidth="1"/>
    <col min="16" max="16384" width="9.140625" style="51"/>
  </cols>
  <sheetData>
    <row r="1" spans="1:15" x14ac:dyDescent="0.2">
      <c r="A1" s="51" t="s">
        <v>99</v>
      </c>
      <c r="B1" s="51" t="s">
        <v>100</v>
      </c>
      <c r="C1" s="51" t="s">
        <v>101</v>
      </c>
      <c r="D1" s="52" t="s">
        <v>102</v>
      </c>
      <c r="E1" s="52" t="s">
        <v>103</v>
      </c>
      <c r="F1" s="52" t="s">
        <v>104</v>
      </c>
      <c r="G1" s="52" t="s">
        <v>105</v>
      </c>
      <c r="H1" s="52" t="s">
        <v>106</v>
      </c>
      <c r="I1" s="52" t="s">
        <v>107</v>
      </c>
      <c r="J1" s="52" t="s">
        <v>108</v>
      </c>
      <c r="K1" s="52" t="s">
        <v>109</v>
      </c>
      <c r="L1" s="52" t="s">
        <v>110</v>
      </c>
      <c r="M1" s="52" t="s">
        <v>111</v>
      </c>
      <c r="N1" s="52" t="s">
        <v>112</v>
      </c>
      <c r="O1" s="52" t="s">
        <v>113</v>
      </c>
    </row>
    <row r="2" spans="1:15" x14ac:dyDescent="0.2">
      <c r="A2" s="56"/>
      <c r="B2" s="51">
        <v>2182</v>
      </c>
      <c r="C2" s="51" t="s">
        <v>256</v>
      </c>
      <c r="D2" s="52">
        <v>0</v>
      </c>
      <c r="E2" s="52">
        <v>0</v>
      </c>
      <c r="F2" s="52">
        <v>0</v>
      </c>
      <c r="G2" s="52">
        <v>0</v>
      </c>
      <c r="H2" s="52">
        <v>0</v>
      </c>
      <c r="I2" s="52">
        <v>0</v>
      </c>
      <c r="J2" s="52">
        <v>0</v>
      </c>
      <c r="K2" s="52">
        <v>0</v>
      </c>
      <c r="L2" s="52">
        <v>39500</v>
      </c>
      <c r="M2" s="52">
        <v>0</v>
      </c>
      <c r="N2" s="52">
        <v>0</v>
      </c>
      <c r="O2" s="52">
        <v>0</v>
      </c>
    </row>
    <row r="3" spans="1:15" x14ac:dyDescent="0.2">
      <c r="B3" s="51">
        <v>2188</v>
      </c>
      <c r="C3" s="51" t="s">
        <v>124</v>
      </c>
      <c r="D3" s="52">
        <v>0</v>
      </c>
      <c r="E3" s="52">
        <v>0</v>
      </c>
      <c r="F3" s="52">
        <v>0</v>
      </c>
      <c r="G3" s="52">
        <v>0</v>
      </c>
      <c r="H3" s="52">
        <v>4983.33</v>
      </c>
      <c r="I3" s="52">
        <v>0</v>
      </c>
      <c r="J3" s="52">
        <v>10825</v>
      </c>
      <c r="K3" s="52">
        <v>77250</v>
      </c>
      <c r="L3" s="52">
        <v>56250</v>
      </c>
      <c r="M3" s="52">
        <v>0</v>
      </c>
      <c r="N3" s="52">
        <v>0</v>
      </c>
      <c r="O3" s="52">
        <v>0</v>
      </c>
    </row>
    <row r="4" spans="1:15" x14ac:dyDescent="0.2">
      <c r="B4" s="51">
        <v>3110001</v>
      </c>
      <c r="C4" s="51" t="s">
        <v>136</v>
      </c>
      <c r="D4" s="52">
        <v>-21232.523000000001</v>
      </c>
      <c r="E4" s="52">
        <v>0</v>
      </c>
      <c r="F4" s="52">
        <v>-16343.053</v>
      </c>
      <c r="G4" s="52">
        <v>-211364.625</v>
      </c>
      <c r="H4" s="52">
        <v>-92646.209000000003</v>
      </c>
      <c r="I4" s="52">
        <v>130521.895</v>
      </c>
      <c r="J4" s="52">
        <v>57013.7</v>
      </c>
      <c r="K4" s="52">
        <v>-113926.18700000001</v>
      </c>
      <c r="L4" s="52">
        <v>-72972.338000000003</v>
      </c>
      <c r="M4" s="52">
        <v>0</v>
      </c>
      <c r="N4" s="52">
        <v>0</v>
      </c>
      <c r="O4" s="52">
        <v>0</v>
      </c>
    </row>
    <row r="5" spans="1:15" x14ac:dyDescent="0.2">
      <c r="B5" s="51">
        <v>3124001</v>
      </c>
      <c r="C5" s="51" t="s">
        <v>173</v>
      </c>
      <c r="D5" s="52">
        <v>0</v>
      </c>
      <c r="E5" s="52">
        <v>0</v>
      </c>
      <c r="F5" s="52">
        <v>-42750.01</v>
      </c>
      <c r="G5" s="52">
        <v>0</v>
      </c>
      <c r="H5" s="52">
        <v>0</v>
      </c>
      <c r="I5" s="52">
        <v>0</v>
      </c>
      <c r="J5" s="52">
        <v>0</v>
      </c>
      <c r="K5" s="52">
        <v>0</v>
      </c>
      <c r="L5" s="52">
        <v>0</v>
      </c>
      <c r="M5" s="52">
        <v>0</v>
      </c>
      <c r="N5" s="52">
        <v>0</v>
      </c>
      <c r="O5" s="52">
        <v>0</v>
      </c>
    </row>
    <row r="6" spans="1:15" x14ac:dyDescent="0.2">
      <c r="B6" s="51">
        <v>3510001</v>
      </c>
      <c r="C6" s="51" t="s">
        <v>129</v>
      </c>
      <c r="D6" s="52">
        <v>-4778644.0760000004</v>
      </c>
      <c r="E6" s="52">
        <v>6764619.1900000004</v>
      </c>
      <c r="F6" s="52">
        <v>5760858.2560000001</v>
      </c>
      <c r="G6" s="52">
        <v>9260492.5299999993</v>
      </c>
      <c r="H6" s="52">
        <v>-14048195.810000001</v>
      </c>
      <c r="I6" s="52">
        <v>-1373485.92</v>
      </c>
      <c r="J6" s="52">
        <v>-4612468.716</v>
      </c>
      <c r="K6" s="52">
        <v>-3989991.7590000001</v>
      </c>
      <c r="L6" s="52">
        <v>3506906.7820000001</v>
      </c>
      <c r="M6" s="52">
        <v>431193.07</v>
      </c>
      <c r="N6" s="52">
        <v>0</v>
      </c>
      <c r="O6" s="52">
        <v>0</v>
      </c>
    </row>
    <row r="7" spans="1:15" x14ac:dyDescent="0.2">
      <c r="B7" s="51">
        <v>401</v>
      </c>
      <c r="C7" s="51" t="s">
        <v>114</v>
      </c>
      <c r="D7" s="52">
        <v>2976046.82</v>
      </c>
      <c r="E7" s="52">
        <v>-3330052.361</v>
      </c>
      <c r="F7" s="52">
        <v>-5166079.6289999997</v>
      </c>
      <c r="G7" s="52">
        <v>-8097108.8399999999</v>
      </c>
      <c r="H7" s="52">
        <v>2590122.8259999999</v>
      </c>
      <c r="I7" s="52">
        <v>2838305.1949999998</v>
      </c>
      <c r="J7" s="52">
        <v>-464548.91210000002</v>
      </c>
      <c r="K7" s="52">
        <v>-110727.67999999999</v>
      </c>
      <c r="L7" s="52">
        <v>-12640273.800000001</v>
      </c>
      <c r="M7" s="52">
        <v>-539842.76280000003</v>
      </c>
      <c r="N7" s="52">
        <v>0</v>
      </c>
      <c r="O7" s="52">
        <v>0</v>
      </c>
    </row>
    <row r="8" spans="1:15" x14ac:dyDescent="0.2">
      <c r="B8" s="51">
        <v>411</v>
      </c>
      <c r="C8" s="51" t="s">
        <v>115</v>
      </c>
      <c r="D8" s="52">
        <v>103.65</v>
      </c>
      <c r="E8" s="52">
        <v>33.49</v>
      </c>
      <c r="F8" s="52">
        <v>238.59</v>
      </c>
      <c r="G8" s="52">
        <v>90.46</v>
      </c>
      <c r="H8" s="52">
        <v>3389494.85</v>
      </c>
      <c r="I8" s="52">
        <v>-3389989.71</v>
      </c>
      <c r="J8" s="52">
        <v>-7.12</v>
      </c>
      <c r="K8" s="52">
        <v>-23891.97</v>
      </c>
      <c r="L8" s="52">
        <v>11363421.720000001</v>
      </c>
      <c r="M8" s="52">
        <v>3714507.59</v>
      </c>
      <c r="N8" s="52">
        <v>0</v>
      </c>
      <c r="O8" s="52">
        <v>0</v>
      </c>
    </row>
    <row r="9" spans="1:15" x14ac:dyDescent="0.2">
      <c r="B9" s="51">
        <v>421</v>
      </c>
      <c r="C9" s="51" t="s">
        <v>116</v>
      </c>
      <c r="D9" s="52">
        <v>-498410</v>
      </c>
      <c r="E9" s="52">
        <v>-10923</v>
      </c>
      <c r="F9" s="52">
        <v>-190000</v>
      </c>
      <c r="G9" s="52">
        <v>-60000</v>
      </c>
      <c r="H9" s="52">
        <v>8968</v>
      </c>
      <c r="I9" s="52">
        <v>52362</v>
      </c>
      <c r="J9" s="52">
        <v>-95635</v>
      </c>
      <c r="K9" s="52">
        <v>545135</v>
      </c>
      <c r="L9" s="52">
        <v>140000</v>
      </c>
      <c r="M9" s="52">
        <v>0</v>
      </c>
      <c r="N9" s="52">
        <v>0</v>
      </c>
      <c r="O9" s="52">
        <v>0</v>
      </c>
    </row>
    <row r="10" spans="1:15" x14ac:dyDescent="0.2">
      <c r="B10" s="51">
        <v>431</v>
      </c>
      <c r="C10" s="51" t="s">
        <v>117</v>
      </c>
      <c r="D10" s="52">
        <v>3437</v>
      </c>
      <c r="E10" s="52">
        <v>-3298</v>
      </c>
      <c r="F10" s="52">
        <v>-76675</v>
      </c>
      <c r="G10" s="52">
        <v>0</v>
      </c>
      <c r="H10" s="52">
        <v>-5744</v>
      </c>
      <c r="I10" s="52">
        <v>11579</v>
      </c>
      <c r="J10" s="52">
        <v>-8059</v>
      </c>
      <c r="K10" s="52">
        <v>-5461</v>
      </c>
      <c r="L10" s="52">
        <v>232851</v>
      </c>
      <c r="M10" s="52">
        <v>0</v>
      </c>
      <c r="N10" s="52">
        <v>0</v>
      </c>
      <c r="O10" s="52">
        <v>0</v>
      </c>
    </row>
    <row r="11" spans="1:15" x14ac:dyDescent="0.2">
      <c r="B11" s="51">
        <v>438</v>
      </c>
      <c r="C11" s="51" t="s">
        <v>257</v>
      </c>
      <c r="D11" s="52">
        <v>0</v>
      </c>
      <c r="E11" s="52">
        <v>0</v>
      </c>
      <c r="F11" s="52">
        <v>0</v>
      </c>
      <c r="G11" s="52">
        <v>0</v>
      </c>
      <c r="H11" s="52">
        <v>0</v>
      </c>
      <c r="I11" s="52">
        <v>0</v>
      </c>
      <c r="J11" s="52">
        <v>0</v>
      </c>
      <c r="K11" s="52">
        <v>-59734</v>
      </c>
      <c r="L11" s="52">
        <v>0</v>
      </c>
      <c r="M11" s="52">
        <v>0</v>
      </c>
      <c r="N11" s="52">
        <v>0</v>
      </c>
      <c r="O11" s="52">
        <v>0</v>
      </c>
    </row>
    <row r="12" spans="1:15" x14ac:dyDescent="0.2">
      <c r="B12" s="51">
        <v>442</v>
      </c>
      <c r="C12" s="51" t="s">
        <v>174</v>
      </c>
      <c r="D12" s="52">
        <v>0</v>
      </c>
      <c r="E12" s="52">
        <v>0</v>
      </c>
      <c r="F12" s="52">
        <v>1</v>
      </c>
      <c r="G12" s="52">
        <v>1</v>
      </c>
      <c r="H12" s="52">
        <v>-127</v>
      </c>
      <c r="I12" s="52">
        <v>0</v>
      </c>
      <c r="J12" s="52">
        <v>0</v>
      </c>
      <c r="K12" s="52">
        <v>0</v>
      </c>
      <c r="L12" s="52">
        <v>24887</v>
      </c>
      <c r="M12" s="52">
        <v>0</v>
      </c>
      <c r="N12" s="52">
        <v>0</v>
      </c>
      <c r="O12" s="52">
        <v>0</v>
      </c>
    </row>
    <row r="13" spans="1:15" x14ac:dyDescent="0.2">
      <c r="B13" s="51">
        <v>444</v>
      </c>
      <c r="C13" s="51" t="s">
        <v>152</v>
      </c>
      <c r="D13" s="52">
        <v>0</v>
      </c>
      <c r="E13" s="52">
        <v>349468</v>
      </c>
      <c r="F13" s="52">
        <v>0</v>
      </c>
      <c r="G13" s="52">
        <v>0</v>
      </c>
      <c r="H13" s="52">
        <v>550000</v>
      </c>
      <c r="I13" s="52">
        <v>484382</v>
      </c>
      <c r="J13" s="52">
        <v>600000</v>
      </c>
      <c r="K13" s="52">
        <v>491096</v>
      </c>
      <c r="L13" s="52">
        <v>0</v>
      </c>
      <c r="M13" s="52">
        <v>0</v>
      </c>
      <c r="N13" s="52">
        <v>0</v>
      </c>
      <c r="O13" s="52">
        <v>0</v>
      </c>
    </row>
    <row r="14" spans="1:15" x14ac:dyDescent="0.2">
      <c r="B14" s="51">
        <v>4451001</v>
      </c>
      <c r="C14" s="51" t="s">
        <v>137</v>
      </c>
      <c r="D14" s="52">
        <v>400909.31199999998</v>
      </c>
      <c r="E14" s="52">
        <v>2507221.2760000001</v>
      </c>
      <c r="F14" s="52">
        <v>2703148.6979999999</v>
      </c>
      <c r="G14" s="52">
        <v>3237330.0419999999</v>
      </c>
      <c r="H14" s="52">
        <v>442164.6974</v>
      </c>
      <c r="I14" s="52">
        <v>1556488.767</v>
      </c>
      <c r="J14" s="52">
        <v>534353.22679999995</v>
      </c>
      <c r="K14" s="52">
        <v>421923.14159999997</v>
      </c>
      <c r="L14" s="52">
        <v>2701487.15</v>
      </c>
      <c r="M14" s="52">
        <v>98776.260999999999</v>
      </c>
      <c r="N14" s="52">
        <v>0</v>
      </c>
      <c r="O14" s="52">
        <v>0</v>
      </c>
    </row>
    <row r="15" spans="1:15" x14ac:dyDescent="0.2">
      <c r="B15" s="51">
        <v>4451002</v>
      </c>
      <c r="C15" s="51" t="s">
        <v>138</v>
      </c>
      <c r="D15" s="52">
        <v>-1833203.82</v>
      </c>
      <c r="E15" s="52">
        <v>-566816.03</v>
      </c>
      <c r="F15" s="52">
        <v>-1481609.03</v>
      </c>
      <c r="G15" s="52">
        <v>-1336648.78</v>
      </c>
      <c r="H15" s="52">
        <v>-4464542.68</v>
      </c>
      <c r="I15" s="52">
        <v>-2566687.4900000002</v>
      </c>
      <c r="J15" s="52">
        <v>-1262737.3</v>
      </c>
      <c r="K15" s="52">
        <v>-1248130.05</v>
      </c>
      <c r="L15" s="52">
        <v>-1962595.5</v>
      </c>
      <c r="M15" s="52">
        <v>-619084.56000000006</v>
      </c>
      <c r="N15" s="52">
        <v>0</v>
      </c>
      <c r="O15" s="52">
        <v>0</v>
      </c>
    </row>
    <row r="16" spans="1:15" x14ac:dyDescent="0.2">
      <c r="B16" s="51">
        <v>4460003</v>
      </c>
      <c r="C16" s="51" t="s">
        <v>175</v>
      </c>
      <c r="D16" s="52">
        <v>0</v>
      </c>
      <c r="E16" s="52">
        <v>-41542.800000000003</v>
      </c>
      <c r="F16" s="52">
        <v>-10187.549999999999</v>
      </c>
      <c r="G16" s="52">
        <v>-2995</v>
      </c>
      <c r="H16" s="52">
        <v>0</v>
      </c>
      <c r="I16" s="52">
        <v>0</v>
      </c>
      <c r="J16" s="52">
        <v>0</v>
      </c>
      <c r="K16" s="52">
        <v>0</v>
      </c>
      <c r="L16" s="52">
        <v>-42877.8</v>
      </c>
      <c r="M16" s="52">
        <v>0</v>
      </c>
      <c r="N16" s="52">
        <v>0</v>
      </c>
      <c r="O16" s="52">
        <v>0</v>
      </c>
    </row>
    <row r="17" spans="1:15" x14ac:dyDescent="0.2">
      <c r="B17" s="51">
        <v>4461</v>
      </c>
      <c r="C17" s="51" t="s">
        <v>139</v>
      </c>
      <c r="D17" s="52">
        <v>0</v>
      </c>
      <c r="E17" s="52">
        <v>-2035649.2</v>
      </c>
      <c r="F17" s="52">
        <v>-2210555.4500000002</v>
      </c>
      <c r="G17" s="52">
        <v>-2676812.5</v>
      </c>
      <c r="H17" s="52">
        <v>0</v>
      </c>
      <c r="I17" s="52">
        <v>-1118369.01</v>
      </c>
      <c r="J17" s="52">
        <v>-68964</v>
      </c>
      <c r="K17" s="52">
        <v>0</v>
      </c>
      <c r="L17" s="52">
        <v>-2260503.2000000002</v>
      </c>
      <c r="M17" s="52">
        <v>-91037</v>
      </c>
      <c r="N17" s="52">
        <v>0</v>
      </c>
      <c r="O17" s="52">
        <v>0</v>
      </c>
    </row>
    <row r="18" spans="1:15" x14ac:dyDescent="0.2">
      <c r="B18" s="51">
        <v>4461001</v>
      </c>
      <c r="C18" s="51" t="s">
        <v>200</v>
      </c>
      <c r="D18" s="52">
        <v>0</v>
      </c>
      <c r="E18" s="52">
        <v>2084000</v>
      </c>
      <c r="F18" s="52">
        <v>2232900</v>
      </c>
      <c r="G18" s="52">
        <v>2682900</v>
      </c>
      <c r="H18" s="52">
        <v>0</v>
      </c>
      <c r="I18" s="52">
        <v>1121400</v>
      </c>
      <c r="J18" s="52">
        <v>72100</v>
      </c>
      <c r="K18" s="52">
        <v>0</v>
      </c>
      <c r="L18" s="52">
        <v>1665700</v>
      </c>
      <c r="M18" s="52">
        <v>0</v>
      </c>
      <c r="N18" s="52">
        <v>0</v>
      </c>
      <c r="O18" s="52">
        <v>0</v>
      </c>
    </row>
    <row r="19" spans="1:15" x14ac:dyDescent="0.2">
      <c r="B19" s="51">
        <v>4469001</v>
      </c>
      <c r="C19" s="51" t="s">
        <v>176</v>
      </c>
      <c r="D19" s="52">
        <v>0</v>
      </c>
      <c r="E19" s="52">
        <v>-6684</v>
      </c>
      <c r="F19" s="52">
        <v>-11888</v>
      </c>
      <c r="G19" s="52">
        <v>-2995</v>
      </c>
      <c r="H19" s="52">
        <v>0</v>
      </c>
      <c r="I19" s="52">
        <v>-2953</v>
      </c>
      <c r="J19" s="52">
        <v>-2917</v>
      </c>
      <c r="K19" s="52">
        <v>0</v>
      </c>
      <c r="L19" s="52">
        <v>-11748</v>
      </c>
      <c r="M19" s="52">
        <v>-2937</v>
      </c>
      <c r="N19" s="52">
        <v>0</v>
      </c>
      <c r="O19" s="52">
        <v>0</v>
      </c>
    </row>
    <row r="20" spans="1:15" x14ac:dyDescent="0.2">
      <c r="A20" s="56"/>
      <c r="B20" s="51">
        <v>4470001</v>
      </c>
      <c r="C20" s="51" t="s">
        <v>158</v>
      </c>
      <c r="D20" s="52">
        <v>0</v>
      </c>
      <c r="E20" s="52">
        <v>0</v>
      </c>
      <c r="F20" s="52">
        <v>-60000</v>
      </c>
      <c r="G20" s="52">
        <v>60000</v>
      </c>
      <c r="H20" s="52">
        <v>30000</v>
      </c>
      <c r="I20" s="52">
        <v>0</v>
      </c>
      <c r="J20" s="52">
        <v>0</v>
      </c>
      <c r="K20" s="52">
        <v>0</v>
      </c>
      <c r="L20" s="52">
        <v>0</v>
      </c>
      <c r="M20" s="52">
        <v>0</v>
      </c>
      <c r="N20" s="52">
        <v>0</v>
      </c>
      <c r="O20" s="52">
        <v>0</v>
      </c>
    </row>
    <row r="21" spans="1:15" x14ac:dyDescent="0.2">
      <c r="B21" s="51">
        <v>4470002</v>
      </c>
      <c r="C21" s="51" t="s">
        <v>220</v>
      </c>
      <c r="D21" s="52">
        <v>0</v>
      </c>
      <c r="E21" s="52">
        <v>0</v>
      </c>
      <c r="F21" s="52">
        <v>-30000</v>
      </c>
      <c r="G21" s="52">
        <v>30000</v>
      </c>
      <c r="H21" s="52">
        <v>5000</v>
      </c>
      <c r="I21" s="52">
        <v>0</v>
      </c>
      <c r="J21" s="52">
        <v>0</v>
      </c>
      <c r="K21" s="52">
        <v>0</v>
      </c>
      <c r="L21" s="52">
        <v>0</v>
      </c>
      <c r="M21" s="52">
        <v>0</v>
      </c>
      <c r="N21" s="52">
        <v>0</v>
      </c>
      <c r="O21" s="52">
        <v>0</v>
      </c>
    </row>
    <row r="22" spans="1:15" x14ac:dyDescent="0.2">
      <c r="B22" s="51">
        <v>4510001</v>
      </c>
      <c r="C22" s="51" t="s">
        <v>201</v>
      </c>
      <c r="D22" s="52">
        <v>1685100</v>
      </c>
      <c r="E22" s="52">
        <v>-1522755</v>
      </c>
      <c r="F22" s="52">
        <v>1350000</v>
      </c>
      <c r="G22" s="52">
        <v>0</v>
      </c>
      <c r="H22" s="52">
        <v>-3337500</v>
      </c>
      <c r="I22" s="52">
        <v>0</v>
      </c>
      <c r="J22" s="52">
        <v>0</v>
      </c>
      <c r="K22" s="52">
        <v>-5286678</v>
      </c>
      <c r="L22" s="52">
        <v>0</v>
      </c>
      <c r="M22" s="52">
        <v>0</v>
      </c>
      <c r="N22" s="52">
        <v>0</v>
      </c>
      <c r="O22" s="52">
        <v>0</v>
      </c>
    </row>
    <row r="23" spans="1:15" x14ac:dyDescent="0.2">
      <c r="B23" s="51">
        <v>4550001</v>
      </c>
      <c r="C23" s="51" t="s">
        <v>258</v>
      </c>
      <c r="D23" s="52">
        <v>0</v>
      </c>
      <c r="E23" s="52">
        <v>0</v>
      </c>
      <c r="F23" s="52">
        <v>0</v>
      </c>
      <c r="G23" s="52">
        <v>0</v>
      </c>
      <c r="H23" s="52">
        <v>0</v>
      </c>
      <c r="I23" s="52">
        <v>0</v>
      </c>
      <c r="J23" s="52">
        <v>314000</v>
      </c>
      <c r="K23" s="52">
        <v>0</v>
      </c>
      <c r="L23" s="52">
        <v>0</v>
      </c>
      <c r="M23" s="52">
        <v>0</v>
      </c>
      <c r="N23" s="52">
        <v>0</v>
      </c>
      <c r="O23" s="52">
        <v>0</v>
      </c>
    </row>
    <row r="24" spans="1:15" x14ac:dyDescent="0.2">
      <c r="B24" s="51">
        <v>4600001</v>
      </c>
      <c r="C24" s="51" t="s">
        <v>177</v>
      </c>
      <c r="D24" s="52">
        <v>0</v>
      </c>
      <c r="E24" s="52">
        <v>124504.6621</v>
      </c>
      <c r="F24" s="52">
        <v>124644.87360000001</v>
      </c>
      <c r="G24" s="52">
        <v>249103.66140000001</v>
      </c>
      <c r="H24" s="52">
        <v>125363.4725</v>
      </c>
      <c r="I24" s="52">
        <v>125394.787</v>
      </c>
      <c r="J24" s="52">
        <v>125215.1308</v>
      </c>
      <c r="K24" s="52">
        <v>0</v>
      </c>
      <c r="L24" s="52">
        <v>128234.1284</v>
      </c>
      <c r="M24" s="52">
        <v>0</v>
      </c>
      <c r="N24" s="52">
        <v>0</v>
      </c>
      <c r="O24" s="52">
        <v>0</v>
      </c>
    </row>
    <row r="25" spans="1:15" x14ac:dyDescent="0.2">
      <c r="B25" s="51">
        <v>4600002</v>
      </c>
      <c r="C25" s="51" t="s">
        <v>178</v>
      </c>
      <c r="D25" s="52">
        <v>0</v>
      </c>
      <c r="E25" s="52">
        <v>218689.76310000001</v>
      </c>
      <c r="F25" s="52">
        <v>109300.34699999999</v>
      </c>
      <c r="G25" s="52">
        <v>109510.648</v>
      </c>
      <c r="H25" s="52">
        <v>109509.97749999999</v>
      </c>
      <c r="I25" s="52">
        <v>108448.2</v>
      </c>
      <c r="J25" s="52">
        <v>108415.9372</v>
      </c>
      <c r="K25" s="52">
        <v>0</v>
      </c>
      <c r="L25" s="52">
        <v>110145.5892</v>
      </c>
      <c r="M25" s="52">
        <v>0</v>
      </c>
      <c r="N25" s="52">
        <v>0</v>
      </c>
      <c r="O25" s="52">
        <v>0</v>
      </c>
    </row>
    <row r="26" spans="1:15" x14ac:dyDescent="0.2">
      <c r="B26" s="51">
        <v>467</v>
      </c>
      <c r="C26" s="51" t="s">
        <v>179</v>
      </c>
      <c r="D26" s="52">
        <v>2299309.71</v>
      </c>
      <c r="E26" s="52">
        <v>-5684718.9500000002</v>
      </c>
      <c r="F26" s="52">
        <v>-5710395</v>
      </c>
      <c r="G26" s="52">
        <v>-3954326.05</v>
      </c>
      <c r="H26" s="52">
        <v>15454410</v>
      </c>
      <c r="I26" s="52">
        <v>7812936.9800000004</v>
      </c>
      <c r="J26" s="52">
        <v>2716694.96</v>
      </c>
      <c r="K26" s="52">
        <v>5156000</v>
      </c>
      <c r="L26" s="52">
        <v>-1432920</v>
      </c>
      <c r="M26" s="52">
        <v>0</v>
      </c>
      <c r="N26" s="52">
        <v>0</v>
      </c>
      <c r="O26" s="52">
        <v>0</v>
      </c>
    </row>
    <row r="27" spans="1:15" x14ac:dyDescent="0.2">
      <c r="B27" s="51">
        <v>4680002</v>
      </c>
      <c r="C27" s="51" t="s">
        <v>180</v>
      </c>
      <c r="D27" s="52">
        <v>99145.3</v>
      </c>
      <c r="E27" s="52">
        <v>188888.8</v>
      </c>
      <c r="F27" s="52">
        <v>188888.8</v>
      </c>
      <c r="G27" s="52">
        <v>188888.8</v>
      </c>
      <c r="H27" s="52">
        <v>188888.8</v>
      </c>
      <c r="I27" s="52">
        <v>0</v>
      </c>
      <c r="J27" s="52">
        <v>188888.8</v>
      </c>
      <c r="K27" s="52">
        <v>188888.8</v>
      </c>
      <c r="L27" s="52">
        <v>188888.8</v>
      </c>
      <c r="M27" s="52">
        <v>0</v>
      </c>
      <c r="N27" s="52">
        <v>0</v>
      </c>
      <c r="O27" s="52">
        <v>0</v>
      </c>
    </row>
    <row r="28" spans="1:15" x14ac:dyDescent="0.2">
      <c r="B28" s="51">
        <v>4680003</v>
      </c>
      <c r="C28" s="51" t="s">
        <v>181</v>
      </c>
      <c r="D28" s="52">
        <v>64349.51</v>
      </c>
      <c r="E28" s="52">
        <v>45833</v>
      </c>
      <c r="F28" s="52">
        <v>45833</v>
      </c>
      <c r="G28" s="52">
        <v>24034.34</v>
      </c>
      <c r="H28" s="52">
        <v>67631.66</v>
      </c>
      <c r="I28" s="52">
        <v>0</v>
      </c>
      <c r="J28" s="52">
        <v>45833</v>
      </c>
      <c r="K28" s="52">
        <v>45833</v>
      </c>
      <c r="L28" s="52">
        <v>45833</v>
      </c>
      <c r="M28" s="52">
        <v>0</v>
      </c>
      <c r="N28" s="52">
        <v>0</v>
      </c>
      <c r="O28" s="52">
        <v>0</v>
      </c>
    </row>
    <row r="29" spans="1:15" x14ac:dyDescent="0.2">
      <c r="A29" s="56"/>
      <c r="B29" s="51">
        <v>4680004</v>
      </c>
      <c r="C29" s="51" t="s">
        <v>182</v>
      </c>
      <c r="D29" s="52">
        <v>-137665.10999999999</v>
      </c>
      <c r="E29" s="52">
        <v>113888</v>
      </c>
      <c r="F29" s="52">
        <v>113888</v>
      </c>
      <c r="G29" s="52">
        <v>0</v>
      </c>
      <c r="H29" s="52">
        <v>227776</v>
      </c>
      <c r="I29" s="52">
        <v>0</v>
      </c>
      <c r="J29" s="52">
        <v>113888</v>
      </c>
      <c r="K29" s="52">
        <v>113888</v>
      </c>
      <c r="L29" s="52">
        <v>113888</v>
      </c>
      <c r="M29" s="52">
        <v>0</v>
      </c>
      <c r="N29" s="52">
        <v>0</v>
      </c>
      <c r="O29" s="52">
        <v>0</v>
      </c>
    </row>
    <row r="30" spans="1:15" x14ac:dyDescent="0.2">
      <c r="B30" s="51">
        <v>4680006</v>
      </c>
      <c r="C30" s="51" t="s">
        <v>183</v>
      </c>
      <c r="D30" s="52">
        <v>548472</v>
      </c>
      <c r="E30" s="52">
        <v>206944</v>
      </c>
      <c r="F30" s="52">
        <v>38300.620000000003</v>
      </c>
      <c r="G30" s="52">
        <v>168643.38</v>
      </c>
      <c r="H30" s="52">
        <v>413888</v>
      </c>
      <c r="I30" s="52">
        <v>206944</v>
      </c>
      <c r="J30" s="52">
        <v>206944</v>
      </c>
      <c r="K30" s="52">
        <v>206944</v>
      </c>
      <c r="L30" s="52">
        <v>206944</v>
      </c>
      <c r="M30" s="52">
        <v>0</v>
      </c>
      <c r="N30" s="52">
        <v>0</v>
      </c>
      <c r="O30" s="52">
        <v>0</v>
      </c>
    </row>
    <row r="31" spans="1:15" x14ac:dyDescent="0.2">
      <c r="B31" s="51">
        <v>481</v>
      </c>
      <c r="C31" s="51" t="s">
        <v>184</v>
      </c>
      <c r="D31" s="52">
        <v>214620.67</v>
      </c>
      <c r="E31" s="52">
        <v>78980.394799999995</v>
      </c>
      <c r="F31" s="52">
        <v>42654.8819</v>
      </c>
      <c r="G31" s="52">
        <v>63615.92</v>
      </c>
      <c r="H31" s="52">
        <v>39394.832399999999</v>
      </c>
      <c r="I31" s="52">
        <v>37512.097000000002</v>
      </c>
      <c r="J31" s="52">
        <v>35801.5798</v>
      </c>
      <c r="K31" s="52">
        <v>0</v>
      </c>
      <c r="L31" s="52">
        <v>33104.3364</v>
      </c>
      <c r="M31" s="52">
        <v>0</v>
      </c>
      <c r="N31" s="52">
        <v>0</v>
      </c>
      <c r="O31" s="52">
        <v>0</v>
      </c>
    </row>
    <row r="32" spans="1:15" x14ac:dyDescent="0.2">
      <c r="B32" s="51">
        <v>5121001</v>
      </c>
      <c r="C32" s="51" t="s">
        <v>202</v>
      </c>
      <c r="D32" s="52">
        <v>-183341.71</v>
      </c>
      <c r="E32" s="52">
        <v>-49656.69</v>
      </c>
      <c r="F32" s="52">
        <v>83365.039999999994</v>
      </c>
      <c r="G32" s="52">
        <v>148355.53</v>
      </c>
      <c r="H32" s="52">
        <v>-133541.82</v>
      </c>
      <c r="I32" s="52">
        <v>-91005.51</v>
      </c>
      <c r="J32" s="52">
        <v>350273.94</v>
      </c>
      <c r="K32" s="52">
        <v>-262559.90000000002</v>
      </c>
      <c r="L32" s="52">
        <v>280608.14</v>
      </c>
      <c r="M32" s="52">
        <v>0</v>
      </c>
      <c r="N32" s="52">
        <v>0</v>
      </c>
      <c r="O32" s="52">
        <v>0</v>
      </c>
    </row>
    <row r="33" spans="1:15" x14ac:dyDescent="0.2">
      <c r="B33" s="51">
        <v>5121003</v>
      </c>
      <c r="C33" s="51" t="s">
        <v>153</v>
      </c>
      <c r="D33" s="52">
        <v>-700</v>
      </c>
      <c r="E33" s="52">
        <v>-700</v>
      </c>
      <c r="F33" s="52">
        <v>-1100</v>
      </c>
      <c r="G33" s="52">
        <v>-400</v>
      </c>
      <c r="H33" s="52">
        <v>-700</v>
      </c>
      <c r="I33" s="52">
        <v>-700</v>
      </c>
      <c r="J33" s="52">
        <v>-700</v>
      </c>
      <c r="K33" s="52">
        <v>-700</v>
      </c>
      <c r="L33" s="52">
        <v>0</v>
      </c>
      <c r="M33" s="52">
        <v>0</v>
      </c>
      <c r="N33" s="52">
        <v>0</v>
      </c>
      <c r="O33" s="52">
        <v>0</v>
      </c>
    </row>
    <row r="34" spans="1:15" x14ac:dyDescent="0.2">
      <c r="B34" s="51">
        <v>5121004</v>
      </c>
      <c r="C34" s="51" t="s">
        <v>159</v>
      </c>
      <c r="D34" s="52">
        <v>-250</v>
      </c>
      <c r="E34" s="52">
        <v>-250</v>
      </c>
      <c r="F34" s="52">
        <v>21221.45</v>
      </c>
      <c r="G34" s="52">
        <v>-250</v>
      </c>
      <c r="H34" s="52">
        <v>20613.580000000002</v>
      </c>
      <c r="I34" s="52">
        <v>57203.47</v>
      </c>
      <c r="J34" s="52">
        <v>-86781</v>
      </c>
      <c r="K34" s="52">
        <v>0</v>
      </c>
      <c r="L34" s="52">
        <v>0</v>
      </c>
      <c r="M34" s="52">
        <v>0</v>
      </c>
      <c r="N34" s="52">
        <v>0</v>
      </c>
      <c r="O34" s="52">
        <v>0</v>
      </c>
    </row>
    <row r="35" spans="1:15" x14ac:dyDescent="0.2">
      <c r="B35" s="51">
        <v>5121005</v>
      </c>
      <c r="C35" s="51" t="s">
        <v>185</v>
      </c>
      <c r="D35" s="52">
        <v>-24646.74</v>
      </c>
      <c r="E35" s="52">
        <v>1354.82</v>
      </c>
      <c r="F35" s="52">
        <v>51783.18</v>
      </c>
      <c r="G35" s="52">
        <v>13802.68</v>
      </c>
      <c r="H35" s="52">
        <v>212222.11</v>
      </c>
      <c r="I35" s="52">
        <v>-277146.39</v>
      </c>
      <c r="J35" s="52">
        <v>44185.34</v>
      </c>
      <c r="K35" s="52">
        <v>-44112.08</v>
      </c>
      <c r="L35" s="52">
        <v>31716.26</v>
      </c>
      <c r="M35" s="52">
        <v>0</v>
      </c>
      <c r="N35" s="52">
        <v>0</v>
      </c>
      <c r="O35" s="52">
        <v>0</v>
      </c>
    </row>
    <row r="36" spans="1:15" x14ac:dyDescent="0.2">
      <c r="B36" s="51">
        <v>5121006</v>
      </c>
      <c r="C36" s="51" t="s">
        <v>186</v>
      </c>
      <c r="D36" s="52">
        <v>883.65</v>
      </c>
      <c r="E36" s="52">
        <v>-297.79000000000002</v>
      </c>
      <c r="F36" s="52">
        <v>-585.86</v>
      </c>
      <c r="G36" s="52">
        <v>0</v>
      </c>
      <c r="H36" s="52">
        <v>411.32</v>
      </c>
      <c r="I36" s="52">
        <v>-151.1</v>
      </c>
      <c r="J36" s="52">
        <v>8899.73</v>
      </c>
      <c r="K36" s="52">
        <v>-6305.69</v>
      </c>
      <c r="L36" s="52">
        <v>-2385.39</v>
      </c>
      <c r="M36" s="52">
        <v>0</v>
      </c>
      <c r="N36" s="52">
        <v>0</v>
      </c>
      <c r="O36" s="52">
        <v>0</v>
      </c>
    </row>
    <row r="37" spans="1:15" x14ac:dyDescent="0.2">
      <c r="A37" s="56"/>
      <c r="B37" s="51">
        <v>5121007</v>
      </c>
      <c r="C37" s="51" t="s">
        <v>221</v>
      </c>
      <c r="D37" s="52">
        <v>-10691</v>
      </c>
      <c r="E37" s="52">
        <v>513.9</v>
      </c>
      <c r="F37" s="52">
        <v>2397</v>
      </c>
      <c r="G37" s="52">
        <v>121</v>
      </c>
      <c r="H37" s="52">
        <v>8593.31</v>
      </c>
      <c r="I37" s="52">
        <v>-671.4</v>
      </c>
      <c r="J37" s="52">
        <v>-12725.05</v>
      </c>
      <c r="K37" s="52">
        <v>-150</v>
      </c>
      <c r="L37" s="52">
        <v>0</v>
      </c>
      <c r="M37" s="52">
        <v>0</v>
      </c>
      <c r="N37" s="52">
        <v>0</v>
      </c>
      <c r="O37" s="52">
        <v>0</v>
      </c>
    </row>
    <row r="38" spans="1:15" x14ac:dyDescent="0.2">
      <c r="B38" s="51">
        <v>5124101</v>
      </c>
      <c r="C38" s="51" t="s">
        <v>203</v>
      </c>
      <c r="D38" s="52">
        <v>-10377.017</v>
      </c>
      <c r="E38" s="52">
        <v>-2898.5</v>
      </c>
      <c r="F38" s="52">
        <v>10726.329</v>
      </c>
      <c r="G38" s="52">
        <v>15192.5</v>
      </c>
      <c r="H38" s="52">
        <v>1080906.25</v>
      </c>
      <c r="I38" s="52">
        <v>-1095033.75</v>
      </c>
      <c r="J38" s="52">
        <v>-2453.75</v>
      </c>
      <c r="K38" s="52">
        <v>299353</v>
      </c>
      <c r="L38" s="52">
        <v>-280193.40000000002</v>
      </c>
      <c r="M38" s="52">
        <v>0</v>
      </c>
      <c r="N38" s="52">
        <v>0</v>
      </c>
      <c r="O38" s="52">
        <v>0</v>
      </c>
    </row>
    <row r="39" spans="1:15" x14ac:dyDescent="0.2">
      <c r="B39" s="51">
        <v>5124102</v>
      </c>
      <c r="C39" s="51" t="s">
        <v>204</v>
      </c>
      <c r="D39" s="52">
        <v>-694.59</v>
      </c>
      <c r="E39" s="52">
        <v>2039.93</v>
      </c>
      <c r="F39" s="52">
        <v>-685</v>
      </c>
      <c r="G39" s="52">
        <v>4795</v>
      </c>
      <c r="H39" s="52">
        <v>1080.48</v>
      </c>
      <c r="I39" s="52">
        <v>-667.5</v>
      </c>
      <c r="J39" s="52">
        <v>-660</v>
      </c>
      <c r="K39" s="52">
        <v>-660</v>
      </c>
      <c r="L39" s="52">
        <v>0</v>
      </c>
      <c r="M39" s="52">
        <v>0</v>
      </c>
      <c r="N39" s="52">
        <v>0</v>
      </c>
      <c r="O39" s="52">
        <v>0</v>
      </c>
    </row>
    <row r="40" spans="1:15" x14ac:dyDescent="0.2">
      <c r="B40" s="51">
        <v>5124104</v>
      </c>
      <c r="C40" s="51" t="s">
        <v>187</v>
      </c>
      <c r="D40" s="52">
        <v>-1614</v>
      </c>
      <c r="E40" s="52">
        <v>11186</v>
      </c>
      <c r="F40" s="52">
        <v>16931.349999999999</v>
      </c>
      <c r="G40" s="52">
        <v>1755</v>
      </c>
      <c r="H40" s="52">
        <v>-6542</v>
      </c>
      <c r="I40" s="52">
        <v>-21624.33</v>
      </c>
      <c r="J40" s="52">
        <v>-2592</v>
      </c>
      <c r="K40" s="52">
        <v>1416.0024599999999</v>
      </c>
      <c r="L40" s="52">
        <v>0</v>
      </c>
      <c r="M40" s="52">
        <v>0</v>
      </c>
      <c r="N40" s="52">
        <v>0</v>
      </c>
      <c r="O40" s="52">
        <v>0</v>
      </c>
    </row>
    <row r="41" spans="1:15" x14ac:dyDescent="0.2">
      <c r="B41" s="51">
        <v>5124106</v>
      </c>
      <c r="C41" s="51" t="s">
        <v>205</v>
      </c>
      <c r="D41" s="52">
        <v>158438.31599999999</v>
      </c>
      <c r="E41" s="52">
        <v>-102552.00199999999</v>
      </c>
      <c r="F41" s="52">
        <v>12571.2</v>
      </c>
      <c r="G41" s="52">
        <v>-9688.9500000000007</v>
      </c>
      <c r="H41" s="52">
        <v>22044.535800000001</v>
      </c>
      <c r="I41" s="52">
        <v>-6713.7524599999997</v>
      </c>
      <c r="J41" s="52">
        <v>-13298.045340000001</v>
      </c>
      <c r="K41" s="52">
        <v>5140317.08</v>
      </c>
      <c r="L41" s="52">
        <v>0</v>
      </c>
      <c r="M41" s="52">
        <v>0</v>
      </c>
      <c r="N41" s="52">
        <v>0</v>
      </c>
      <c r="O41" s="52">
        <v>0</v>
      </c>
    </row>
    <row r="42" spans="1:15" x14ac:dyDescent="0.2">
      <c r="B42" s="51">
        <v>5124201</v>
      </c>
      <c r="C42" s="51" t="s">
        <v>140</v>
      </c>
      <c r="D42" s="52">
        <v>-317.5</v>
      </c>
      <c r="E42" s="52">
        <v>-317.5</v>
      </c>
      <c r="F42" s="52">
        <v>6473.19</v>
      </c>
      <c r="G42" s="52">
        <v>-317.5</v>
      </c>
      <c r="H42" s="52">
        <v>-317.5</v>
      </c>
      <c r="I42" s="52">
        <v>-317.5</v>
      </c>
      <c r="J42" s="52">
        <v>-295</v>
      </c>
      <c r="K42" s="52">
        <v>-280</v>
      </c>
      <c r="L42" s="52">
        <v>0</v>
      </c>
      <c r="M42" s="52">
        <v>0</v>
      </c>
      <c r="N42" s="52">
        <v>0</v>
      </c>
      <c r="O42" s="52">
        <v>0</v>
      </c>
    </row>
    <row r="43" spans="1:15" x14ac:dyDescent="0.2">
      <c r="A43" s="56"/>
      <c r="B43" s="51">
        <v>5124202</v>
      </c>
      <c r="C43" s="51" t="s">
        <v>222</v>
      </c>
      <c r="D43" s="52">
        <v>0</v>
      </c>
      <c r="E43" s="52">
        <v>0</v>
      </c>
      <c r="F43" s="52">
        <v>0</v>
      </c>
      <c r="G43" s="52">
        <v>0</v>
      </c>
      <c r="H43" s="52">
        <v>8364</v>
      </c>
      <c r="I43" s="52">
        <v>-28268.024000000001</v>
      </c>
      <c r="J43" s="52">
        <v>678.04</v>
      </c>
      <c r="K43" s="52">
        <v>-112</v>
      </c>
      <c r="L43" s="52">
        <v>7616</v>
      </c>
      <c r="M43" s="52">
        <v>0</v>
      </c>
      <c r="N43" s="52">
        <v>0</v>
      </c>
      <c r="O43" s="52">
        <v>0</v>
      </c>
    </row>
    <row r="44" spans="1:15" x14ac:dyDescent="0.2">
      <c r="B44" s="51">
        <v>5124301</v>
      </c>
      <c r="C44" s="51" t="s">
        <v>141</v>
      </c>
      <c r="D44" s="52">
        <v>-411</v>
      </c>
      <c r="E44" s="52">
        <v>8095</v>
      </c>
      <c r="F44" s="52">
        <v>-405</v>
      </c>
      <c r="G44" s="52">
        <v>11070</v>
      </c>
      <c r="H44" s="52">
        <v>-8095.5</v>
      </c>
      <c r="I44" s="52">
        <v>-400.5</v>
      </c>
      <c r="J44" s="52">
        <v>-397.5</v>
      </c>
      <c r="K44" s="52">
        <v>550.20000000000005</v>
      </c>
      <c r="L44" s="52">
        <v>0</v>
      </c>
      <c r="M44" s="52">
        <v>0</v>
      </c>
      <c r="N44" s="52">
        <v>0</v>
      </c>
      <c r="O44" s="52">
        <v>0</v>
      </c>
    </row>
    <row r="45" spans="1:15" x14ac:dyDescent="0.2">
      <c r="B45" s="51">
        <v>5311001</v>
      </c>
      <c r="C45" s="51" t="s">
        <v>142</v>
      </c>
      <c r="D45" s="52">
        <v>31668</v>
      </c>
      <c r="E45" s="52">
        <v>-30286.17</v>
      </c>
      <c r="F45" s="52">
        <v>109.1</v>
      </c>
      <c r="G45" s="52">
        <v>-1125.5</v>
      </c>
      <c r="H45" s="52">
        <v>1308072</v>
      </c>
      <c r="I45" s="52">
        <v>-1123443</v>
      </c>
      <c r="J45" s="52">
        <v>626174</v>
      </c>
      <c r="K45" s="52">
        <v>-757822</v>
      </c>
      <c r="L45" s="52">
        <v>-250315</v>
      </c>
      <c r="M45" s="52">
        <v>0</v>
      </c>
      <c r="N45" s="52">
        <v>0</v>
      </c>
      <c r="O45" s="52">
        <v>0</v>
      </c>
    </row>
    <row r="46" spans="1:15" x14ac:dyDescent="0.2">
      <c r="B46" s="51">
        <v>5311002</v>
      </c>
      <c r="C46" s="51" t="s">
        <v>206</v>
      </c>
      <c r="D46" s="52">
        <v>7379</v>
      </c>
      <c r="E46" s="52">
        <v>-7800</v>
      </c>
      <c r="F46" s="52">
        <v>744132</v>
      </c>
      <c r="G46" s="52">
        <v>-744275</v>
      </c>
      <c r="H46" s="52">
        <v>330184</v>
      </c>
      <c r="I46" s="52">
        <v>-329822</v>
      </c>
      <c r="J46" s="52">
        <v>1057420</v>
      </c>
      <c r="K46" s="52">
        <v>-1051772</v>
      </c>
      <c r="L46" s="52">
        <v>0</v>
      </c>
      <c r="M46" s="52">
        <v>0</v>
      </c>
      <c r="N46" s="52">
        <v>0</v>
      </c>
      <c r="O46" s="52">
        <v>0</v>
      </c>
    </row>
    <row r="47" spans="1:15" x14ac:dyDescent="0.2">
      <c r="B47" s="51">
        <v>5311102</v>
      </c>
      <c r="C47" s="51" t="s">
        <v>160</v>
      </c>
      <c r="D47" s="52">
        <v>308359</v>
      </c>
      <c r="E47" s="52">
        <v>637400</v>
      </c>
      <c r="F47" s="52">
        <v>-309066</v>
      </c>
      <c r="G47" s="52">
        <v>-620140</v>
      </c>
      <c r="H47" s="52">
        <v>273224</v>
      </c>
      <c r="I47" s="52">
        <v>-288970</v>
      </c>
      <c r="J47" s="52">
        <v>350974</v>
      </c>
      <c r="K47" s="52">
        <v>-351308</v>
      </c>
      <c r="L47" s="52">
        <v>0</v>
      </c>
      <c r="M47" s="52">
        <v>0</v>
      </c>
      <c r="N47" s="52">
        <v>0</v>
      </c>
      <c r="O47" s="52">
        <v>0</v>
      </c>
    </row>
    <row r="48" spans="1:15" x14ac:dyDescent="0.2">
      <c r="B48" s="51">
        <v>5810002</v>
      </c>
      <c r="C48" s="51" t="s">
        <v>143</v>
      </c>
      <c r="D48" s="52">
        <v>0</v>
      </c>
      <c r="E48" s="52">
        <v>0</v>
      </c>
      <c r="F48" s="52">
        <v>0</v>
      </c>
      <c r="G48" s="52">
        <v>0</v>
      </c>
      <c r="H48" s="52">
        <v>2.5</v>
      </c>
      <c r="I48" s="52">
        <v>-0.5</v>
      </c>
      <c r="J48" s="52">
        <v>-3.6</v>
      </c>
      <c r="K48" s="52">
        <v>139031</v>
      </c>
      <c r="L48" s="52">
        <v>0</v>
      </c>
      <c r="M48" s="52">
        <v>0</v>
      </c>
      <c r="N48" s="52">
        <v>0</v>
      </c>
      <c r="O48" s="52">
        <v>0</v>
      </c>
    </row>
    <row r="49" spans="1:15" x14ac:dyDescent="0.2">
      <c r="B49" s="51">
        <v>5810003</v>
      </c>
      <c r="C49" s="51" t="s">
        <v>144</v>
      </c>
      <c r="D49" s="52">
        <v>-0.61</v>
      </c>
      <c r="E49" s="52">
        <v>-0.05</v>
      </c>
      <c r="F49" s="52">
        <v>0</v>
      </c>
      <c r="G49" s="52">
        <v>0</v>
      </c>
      <c r="H49" s="52">
        <v>0.66</v>
      </c>
      <c r="I49" s="52">
        <v>6.24</v>
      </c>
      <c r="J49" s="52">
        <v>-0.1</v>
      </c>
      <c r="K49" s="52">
        <v>0</v>
      </c>
      <c r="L49" s="52">
        <v>-150</v>
      </c>
      <c r="M49" s="52">
        <v>0</v>
      </c>
      <c r="N49" s="52">
        <v>0</v>
      </c>
      <c r="O49" s="52">
        <v>0</v>
      </c>
    </row>
    <row r="50" spans="1:15" x14ac:dyDescent="0.2">
      <c r="B50" s="51">
        <v>5810004</v>
      </c>
      <c r="C50" s="51" t="s">
        <v>188</v>
      </c>
      <c r="D50" s="52">
        <v>0</v>
      </c>
      <c r="E50" s="52">
        <v>0</v>
      </c>
      <c r="F50" s="52">
        <v>0</v>
      </c>
      <c r="G50" s="52">
        <v>0</v>
      </c>
      <c r="H50" s="52">
        <v>0</v>
      </c>
      <c r="I50" s="52">
        <v>0</v>
      </c>
      <c r="J50" s="52">
        <v>0</v>
      </c>
      <c r="K50" s="52">
        <v>139030.32</v>
      </c>
      <c r="L50" s="52">
        <v>0</v>
      </c>
      <c r="M50" s="52">
        <v>0</v>
      </c>
      <c r="N50" s="52">
        <v>0</v>
      </c>
      <c r="O50" s="52">
        <v>0</v>
      </c>
    </row>
    <row r="51" spans="1:15" x14ac:dyDescent="0.2">
      <c r="B51" s="51">
        <v>599</v>
      </c>
      <c r="C51" s="51" t="s">
        <v>165</v>
      </c>
      <c r="D51" s="52">
        <v>0</v>
      </c>
      <c r="E51" s="52">
        <v>0</v>
      </c>
      <c r="F51" s="52">
        <v>0</v>
      </c>
      <c r="G51" s="52">
        <v>0</v>
      </c>
      <c r="H51" s="52">
        <v>0</v>
      </c>
      <c r="I51" s="52">
        <v>0</v>
      </c>
      <c r="J51" s="52">
        <v>0</v>
      </c>
      <c r="K51" s="52">
        <v>0</v>
      </c>
      <c r="L51" s="52">
        <v>-739740</v>
      </c>
      <c r="M51" s="52">
        <v>-3058101.36</v>
      </c>
      <c r="N51" s="52">
        <v>0</v>
      </c>
      <c r="O51" s="52">
        <v>0</v>
      </c>
    </row>
    <row r="52" spans="1:15" x14ac:dyDescent="0.2">
      <c r="B52" s="51">
        <v>601</v>
      </c>
      <c r="C52" s="51" t="s">
        <v>145</v>
      </c>
      <c r="D52" s="52">
        <v>0</v>
      </c>
      <c r="E52" s="52">
        <v>0</v>
      </c>
      <c r="F52" s="52">
        <v>109086.92</v>
      </c>
      <c r="G52" s="52">
        <v>92118.48</v>
      </c>
      <c r="H52" s="52">
        <v>171240</v>
      </c>
      <c r="I52" s="52">
        <v>269729.11</v>
      </c>
      <c r="J52" s="52">
        <v>57013.7</v>
      </c>
      <c r="K52" s="52">
        <v>195363</v>
      </c>
      <c r="L52" s="52">
        <v>100861</v>
      </c>
      <c r="M52" s="52">
        <v>0</v>
      </c>
      <c r="N52" s="52">
        <v>0</v>
      </c>
      <c r="O52" s="52">
        <v>0</v>
      </c>
    </row>
    <row r="53" spans="1:15" x14ac:dyDescent="0.2">
      <c r="B53" s="51">
        <v>6031001</v>
      </c>
      <c r="C53" s="51" t="s">
        <v>146</v>
      </c>
      <c r="D53" s="52">
        <v>21232.523000000001</v>
      </c>
      <c r="E53" s="52">
        <v>0</v>
      </c>
      <c r="F53" s="52">
        <v>59093.063000000002</v>
      </c>
      <c r="G53" s="52">
        <v>211364.625</v>
      </c>
      <c r="H53" s="52">
        <v>92646.209000000003</v>
      </c>
      <c r="I53" s="52">
        <v>-130521.895</v>
      </c>
      <c r="J53" s="52">
        <v>-57013.7</v>
      </c>
      <c r="K53" s="52">
        <v>113926.18700000001</v>
      </c>
      <c r="L53" s="52">
        <v>72972.338000000003</v>
      </c>
      <c r="M53" s="52">
        <v>0</v>
      </c>
      <c r="N53" s="52">
        <v>0</v>
      </c>
      <c r="O53" s="52">
        <v>0</v>
      </c>
    </row>
    <row r="54" spans="1:15" x14ac:dyDescent="0.2">
      <c r="B54" s="51">
        <v>6035001</v>
      </c>
      <c r="C54" s="51" t="s">
        <v>130</v>
      </c>
      <c r="D54" s="52">
        <v>4778644.0760000004</v>
      </c>
      <c r="E54" s="52">
        <v>-6764619.1900000004</v>
      </c>
      <c r="F54" s="52">
        <v>-5760858.2560000001</v>
      </c>
      <c r="G54" s="52">
        <v>-9260492.5299999993</v>
      </c>
      <c r="H54" s="52">
        <v>14048195.810000001</v>
      </c>
      <c r="I54" s="52">
        <v>1373485.92</v>
      </c>
      <c r="J54" s="52">
        <v>4612468.716</v>
      </c>
      <c r="K54" s="52">
        <v>3989991.7590000001</v>
      </c>
      <c r="L54" s="52">
        <v>-3506906.7820000001</v>
      </c>
      <c r="M54" s="52">
        <v>-431193.07</v>
      </c>
      <c r="N54" s="52">
        <v>0</v>
      </c>
      <c r="O54" s="52">
        <v>0</v>
      </c>
    </row>
    <row r="55" spans="1:15" x14ac:dyDescent="0.2">
      <c r="B55" s="51">
        <v>604</v>
      </c>
      <c r="C55" s="51" t="s">
        <v>147</v>
      </c>
      <c r="D55" s="52">
        <v>84949.119999999995</v>
      </c>
      <c r="E55" s="52">
        <v>80234.25</v>
      </c>
      <c r="F55" s="52">
        <v>55984.97</v>
      </c>
      <c r="G55" s="52">
        <v>76575.63</v>
      </c>
      <c r="H55" s="52">
        <v>78365.119999999995</v>
      </c>
      <c r="I55" s="52">
        <v>65144.800000000003</v>
      </c>
      <c r="J55" s="52">
        <v>96647.6</v>
      </c>
      <c r="K55" s="52">
        <v>87704.62</v>
      </c>
      <c r="L55" s="52">
        <v>93522</v>
      </c>
      <c r="M55" s="52">
        <v>28082</v>
      </c>
      <c r="N55" s="52">
        <v>0</v>
      </c>
      <c r="O55" s="52">
        <v>0</v>
      </c>
    </row>
    <row r="56" spans="1:15" x14ac:dyDescent="0.2">
      <c r="B56" s="51">
        <v>605</v>
      </c>
      <c r="C56" s="51" t="s">
        <v>131</v>
      </c>
      <c r="D56" s="52">
        <v>0</v>
      </c>
      <c r="E56" s="52">
        <v>10091760.91</v>
      </c>
      <c r="F56" s="52">
        <v>10902767.890000001</v>
      </c>
      <c r="G56" s="52">
        <v>13323445.25</v>
      </c>
      <c r="H56" s="52">
        <v>0</v>
      </c>
      <c r="I56" s="52">
        <v>5351157.699</v>
      </c>
      <c r="J56" s="52">
        <v>263960.17200000002</v>
      </c>
      <c r="K56" s="52">
        <v>0</v>
      </c>
      <c r="L56" s="52">
        <v>11146998.74</v>
      </c>
      <c r="M56" s="52">
        <v>431193.61229999998</v>
      </c>
      <c r="N56" s="52">
        <v>0</v>
      </c>
      <c r="O56" s="52">
        <v>0</v>
      </c>
    </row>
    <row r="57" spans="1:15" x14ac:dyDescent="0.2">
      <c r="B57" s="51">
        <v>6060001</v>
      </c>
      <c r="C57" s="51" t="s">
        <v>161</v>
      </c>
      <c r="D57" s="52">
        <v>1537.5</v>
      </c>
      <c r="E57" s="52">
        <v>12276.42</v>
      </c>
      <c r="F57" s="52">
        <v>3783.75</v>
      </c>
      <c r="G57" s="52">
        <v>2452.5</v>
      </c>
      <c r="H57" s="52">
        <v>4166.66</v>
      </c>
      <c r="I57" s="52">
        <v>8595.84</v>
      </c>
      <c r="J57" s="52">
        <v>0</v>
      </c>
      <c r="K57" s="52">
        <v>750</v>
      </c>
      <c r="L57" s="52">
        <v>10704.67</v>
      </c>
      <c r="M57" s="52">
        <v>0</v>
      </c>
      <c r="N57" s="52">
        <v>0</v>
      </c>
      <c r="O57" s="52">
        <v>0</v>
      </c>
    </row>
    <row r="58" spans="1:15" x14ac:dyDescent="0.2">
      <c r="B58" s="51">
        <v>608</v>
      </c>
      <c r="C58" s="51" t="s">
        <v>118</v>
      </c>
      <c r="D58" s="52">
        <v>0</v>
      </c>
      <c r="E58" s="52">
        <v>0</v>
      </c>
      <c r="F58" s="52">
        <v>338458.33</v>
      </c>
      <c r="G58" s="52">
        <v>311685.63</v>
      </c>
      <c r="H58" s="52">
        <v>2666.65</v>
      </c>
      <c r="I58" s="52">
        <v>40437.301599999999</v>
      </c>
      <c r="J58" s="52">
        <v>196349.18</v>
      </c>
      <c r="K58" s="52">
        <v>176915.83</v>
      </c>
      <c r="L58" s="52">
        <v>4333.34</v>
      </c>
      <c r="M58" s="52">
        <v>10610.289500000001</v>
      </c>
      <c r="N58" s="52">
        <v>0</v>
      </c>
      <c r="O58" s="52">
        <v>0</v>
      </c>
    </row>
    <row r="59" spans="1:15" x14ac:dyDescent="0.2">
      <c r="B59" s="51">
        <v>6110001</v>
      </c>
      <c r="C59" s="51" t="s">
        <v>148</v>
      </c>
      <c r="D59" s="52">
        <v>39270</v>
      </c>
      <c r="E59" s="52">
        <v>72212</v>
      </c>
      <c r="F59" s="52">
        <v>49555</v>
      </c>
      <c r="G59" s="52">
        <v>19936</v>
      </c>
      <c r="H59" s="52">
        <v>19502</v>
      </c>
      <c r="I59" s="52">
        <v>38873</v>
      </c>
      <c r="J59" s="52">
        <v>0</v>
      </c>
      <c r="K59" s="52">
        <v>33628</v>
      </c>
      <c r="L59" s="52">
        <v>37086</v>
      </c>
      <c r="M59" s="52">
        <v>0</v>
      </c>
      <c r="N59" s="52">
        <v>0</v>
      </c>
      <c r="O59" s="52">
        <v>0</v>
      </c>
    </row>
    <row r="60" spans="1:15" x14ac:dyDescent="0.2">
      <c r="B60" s="51">
        <v>6110003</v>
      </c>
      <c r="C60" s="51" t="s">
        <v>149</v>
      </c>
      <c r="D60" s="52">
        <v>0</v>
      </c>
      <c r="E60" s="52">
        <v>14500</v>
      </c>
      <c r="F60" s="52">
        <v>28500</v>
      </c>
      <c r="G60" s="52">
        <v>15000</v>
      </c>
      <c r="H60" s="52">
        <v>0</v>
      </c>
      <c r="I60" s="52">
        <v>7500</v>
      </c>
      <c r="J60" s="52">
        <v>3000</v>
      </c>
      <c r="K60" s="52">
        <v>0</v>
      </c>
      <c r="L60" s="52">
        <v>21500</v>
      </c>
      <c r="M60" s="52">
        <v>0</v>
      </c>
      <c r="N60" s="52">
        <v>0</v>
      </c>
      <c r="O60" s="52">
        <v>0</v>
      </c>
    </row>
    <row r="61" spans="1:15" x14ac:dyDescent="0.2">
      <c r="B61" s="51">
        <v>6110004</v>
      </c>
      <c r="C61" s="51" t="s">
        <v>166</v>
      </c>
      <c r="D61" s="52">
        <v>115037.05989999999</v>
      </c>
      <c r="E61" s="52">
        <v>115911.705</v>
      </c>
      <c r="F61" s="52">
        <v>115485.75999999999</v>
      </c>
      <c r="G61" s="52">
        <v>0</v>
      </c>
      <c r="H61" s="52">
        <v>114662.0748</v>
      </c>
      <c r="I61" s="52">
        <v>113889.3392</v>
      </c>
      <c r="J61" s="52">
        <v>112591.4503</v>
      </c>
      <c r="K61" s="52">
        <v>112735.8092</v>
      </c>
      <c r="L61" s="52">
        <v>113362.86</v>
      </c>
      <c r="M61" s="52">
        <v>0</v>
      </c>
      <c r="N61" s="52">
        <v>0</v>
      </c>
      <c r="O61" s="52">
        <v>0</v>
      </c>
    </row>
    <row r="62" spans="1:15" x14ac:dyDescent="0.2">
      <c r="A62" s="56"/>
      <c r="B62" s="51">
        <v>6110006</v>
      </c>
      <c r="C62" s="51" t="s">
        <v>223</v>
      </c>
      <c r="D62" s="52">
        <v>0</v>
      </c>
      <c r="E62" s="52">
        <v>0</v>
      </c>
      <c r="F62" s="52">
        <v>0</v>
      </c>
      <c r="G62" s="52">
        <v>0</v>
      </c>
      <c r="H62" s="52">
        <v>13000</v>
      </c>
      <c r="I62" s="52">
        <v>0</v>
      </c>
      <c r="J62" s="52">
        <v>2000</v>
      </c>
      <c r="K62" s="52">
        <v>0</v>
      </c>
      <c r="L62" s="52">
        <v>0</v>
      </c>
      <c r="M62" s="52">
        <v>0</v>
      </c>
      <c r="N62" s="52">
        <v>0</v>
      </c>
      <c r="O62" s="52">
        <v>0</v>
      </c>
    </row>
    <row r="63" spans="1:15" x14ac:dyDescent="0.2">
      <c r="B63" s="51">
        <v>6110007</v>
      </c>
      <c r="C63" s="51" t="s">
        <v>189</v>
      </c>
      <c r="D63" s="52">
        <v>0</v>
      </c>
      <c r="E63" s="52">
        <v>0</v>
      </c>
      <c r="F63" s="52">
        <v>0</v>
      </c>
      <c r="G63" s="52">
        <v>150000</v>
      </c>
      <c r="H63" s="52">
        <v>0</v>
      </c>
      <c r="I63" s="52">
        <v>0</v>
      </c>
      <c r="J63" s="52">
        <v>0</v>
      </c>
      <c r="K63" s="52">
        <v>0</v>
      </c>
      <c r="L63" s="52">
        <v>0</v>
      </c>
      <c r="M63" s="52">
        <v>0</v>
      </c>
      <c r="N63" s="52">
        <v>0</v>
      </c>
      <c r="O63" s="52">
        <v>0</v>
      </c>
    </row>
    <row r="64" spans="1:15" x14ac:dyDescent="0.2">
      <c r="B64" s="51">
        <v>6110009</v>
      </c>
      <c r="C64" s="51" t="s">
        <v>207</v>
      </c>
      <c r="D64" s="52">
        <v>418263.625</v>
      </c>
      <c r="E64" s="52">
        <v>421443.75</v>
      </c>
      <c r="F64" s="52">
        <v>417738.75</v>
      </c>
      <c r="G64" s="52">
        <v>535898.88710000005</v>
      </c>
      <c r="H64" s="52">
        <v>416812.5</v>
      </c>
      <c r="I64" s="52">
        <v>416812.5</v>
      </c>
      <c r="J64" s="52">
        <v>427345.5</v>
      </c>
      <c r="K64" s="52">
        <v>409896.5</v>
      </c>
      <c r="L64" s="52">
        <v>412181.25</v>
      </c>
      <c r="M64" s="52">
        <v>0</v>
      </c>
      <c r="N64" s="52">
        <v>0</v>
      </c>
      <c r="O64" s="52">
        <v>0</v>
      </c>
    </row>
    <row r="65" spans="1:15" x14ac:dyDescent="0.2">
      <c r="B65" s="51">
        <v>6110010</v>
      </c>
      <c r="C65" s="51" t="s">
        <v>190</v>
      </c>
      <c r="D65" s="52">
        <v>7700</v>
      </c>
      <c r="E65" s="52">
        <v>7700</v>
      </c>
      <c r="F65" s="52">
        <v>7700</v>
      </c>
      <c r="G65" s="52">
        <v>7700</v>
      </c>
      <c r="H65" s="52">
        <v>7700</v>
      </c>
      <c r="I65" s="52">
        <v>7700</v>
      </c>
      <c r="J65" s="52">
        <v>41817.065000000002</v>
      </c>
      <c r="K65" s="52">
        <v>7700</v>
      </c>
      <c r="L65" s="52">
        <v>7700</v>
      </c>
      <c r="M65" s="52">
        <v>0</v>
      </c>
      <c r="N65" s="52">
        <v>0</v>
      </c>
      <c r="O65" s="52">
        <v>0</v>
      </c>
    </row>
    <row r="66" spans="1:15" x14ac:dyDescent="0.2">
      <c r="B66" s="51">
        <v>6110011</v>
      </c>
      <c r="C66" s="51" t="s">
        <v>208</v>
      </c>
      <c r="D66" s="52">
        <v>135580</v>
      </c>
      <c r="E66" s="52">
        <v>136500</v>
      </c>
      <c r="F66" s="52">
        <v>135070</v>
      </c>
      <c r="G66" s="52">
        <v>135860</v>
      </c>
      <c r="H66" s="52">
        <v>134880</v>
      </c>
      <c r="I66" s="52">
        <v>134120</v>
      </c>
      <c r="J66" s="52">
        <v>132620</v>
      </c>
      <c r="K66" s="52">
        <v>132760</v>
      </c>
      <c r="L66" s="52">
        <v>133440</v>
      </c>
      <c r="M66" s="52">
        <v>0</v>
      </c>
      <c r="N66" s="52">
        <v>0</v>
      </c>
      <c r="O66" s="52">
        <v>0</v>
      </c>
    </row>
    <row r="67" spans="1:15" x14ac:dyDescent="0.2">
      <c r="B67" s="51">
        <v>6110012</v>
      </c>
      <c r="C67" s="51" t="s">
        <v>209</v>
      </c>
      <c r="D67" s="52">
        <v>0</v>
      </c>
      <c r="E67" s="52">
        <v>0</v>
      </c>
      <c r="F67" s="52">
        <v>5000</v>
      </c>
      <c r="G67" s="52">
        <v>5000</v>
      </c>
      <c r="H67" s="52">
        <v>0</v>
      </c>
      <c r="I67" s="52">
        <v>0</v>
      </c>
      <c r="J67" s="52">
        <v>0</v>
      </c>
      <c r="K67" s="52">
        <v>0</v>
      </c>
      <c r="L67" s="52">
        <v>0</v>
      </c>
      <c r="M67" s="52">
        <v>0</v>
      </c>
      <c r="N67" s="52">
        <v>0</v>
      </c>
      <c r="O67" s="52">
        <v>0</v>
      </c>
    </row>
    <row r="68" spans="1:15" x14ac:dyDescent="0.2">
      <c r="A68" s="56"/>
      <c r="B68" s="51">
        <v>6110013</v>
      </c>
      <c r="C68" s="51" t="s">
        <v>224</v>
      </c>
      <c r="D68" s="52">
        <v>0</v>
      </c>
      <c r="E68" s="52">
        <v>0</v>
      </c>
      <c r="F68" s="52">
        <v>0</v>
      </c>
      <c r="G68" s="52">
        <v>0</v>
      </c>
      <c r="H68" s="52">
        <v>40500</v>
      </c>
      <c r="I68" s="52">
        <v>40200</v>
      </c>
      <c r="J68" s="52">
        <v>0</v>
      </c>
      <c r="K68" s="52">
        <v>0</v>
      </c>
      <c r="L68" s="52">
        <v>0</v>
      </c>
      <c r="M68" s="52">
        <v>0</v>
      </c>
      <c r="N68" s="52">
        <v>0</v>
      </c>
      <c r="O68" s="52">
        <v>0</v>
      </c>
    </row>
    <row r="69" spans="1:15" x14ac:dyDescent="0.2">
      <c r="B69" s="51">
        <v>613</v>
      </c>
      <c r="C69" s="51" t="s">
        <v>119</v>
      </c>
      <c r="D69" s="52">
        <v>1038793.903</v>
      </c>
      <c r="E69" s="52">
        <v>1113783.865</v>
      </c>
      <c r="F69" s="52">
        <v>1038088.33</v>
      </c>
      <c r="G69" s="52">
        <v>1042112.809</v>
      </c>
      <c r="H69" s="52">
        <v>1034318.6</v>
      </c>
      <c r="I69" s="52">
        <v>1028155.124</v>
      </c>
      <c r="J69" s="52">
        <v>1016575.345</v>
      </c>
      <c r="K69" s="52">
        <v>1017520.059</v>
      </c>
      <c r="L69" s="52">
        <v>1022674.16</v>
      </c>
      <c r="M69" s="52">
        <v>0</v>
      </c>
      <c r="N69" s="52">
        <v>0</v>
      </c>
      <c r="O69" s="52">
        <v>0</v>
      </c>
    </row>
    <row r="70" spans="1:15" x14ac:dyDescent="0.2">
      <c r="B70" s="51">
        <v>615</v>
      </c>
      <c r="C70" s="51" t="s">
        <v>210</v>
      </c>
      <c r="D70" s="52">
        <v>0</v>
      </c>
      <c r="E70" s="52">
        <v>0</v>
      </c>
      <c r="F70" s="52">
        <v>0</v>
      </c>
      <c r="G70" s="52">
        <v>123250</v>
      </c>
      <c r="H70" s="52">
        <v>0</v>
      </c>
      <c r="I70" s="52">
        <v>0</v>
      </c>
      <c r="J70" s="52">
        <v>0</v>
      </c>
      <c r="K70" s="52">
        <v>0</v>
      </c>
      <c r="L70" s="52">
        <v>0</v>
      </c>
      <c r="M70" s="52">
        <v>0</v>
      </c>
      <c r="N70" s="52">
        <v>0</v>
      </c>
      <c r="O70" s="52">
        <v>0</v>
      </c>
    </row>
    <row r="71" spans="1:15" x14ac:dyDescent="0.2">
      <c r="B71" s="51">
        <v>616</v>
      </c>
      <c r="C71" s="51" t="s">
        <v>191</v>
      </c>
      <c r="D71" s="52">
        <v>0</v>
      </c>
      <c r="E71" s="52">
        <v>18705</v>
      </c>
      <c r="F71" s="52">
        <v>0</v>
      </c>
      <c r="G71" s="52">
        <v>11380</v>
      </c>
      <c r="H71" s="52">
        <v>0</v>
      </c>
      <c r="I71" s="52">
        <v>0</v>
      </c>
      <c r="J71" s="52">
        <v>0</v>
      </c>
      <c r="K71" s="52">
        <v>0</v>
      </c>
      <c r="L71" s="52">
        <v>127759.5</v>
      </c>
      <c r="M71" s="52">
        <v>0</v>
      </c>
      <c r="N71" s="52">
        <v>0</v>
      </c>
      <c r="O71" s="52">
        <v>0</v>
      </c>
    </row>
    <row r="72" spans="1:15" x14ac:dyDescent="0.2">
      <c r="B72" s="51">
        <v>618</v>
      </c>
      <c r="C72" s="51" t="s">
        <v>124</v>
      </c>
      <c r="D72" s="52">
        <v>175250</v>
      </c>
      <c r="E72" s="52">
        <v>0</v>
      </c>
      <c r="F72" s="52">
        <v>9247.5</v>
      </c>
      <c r="G72" s="52">
        <v>39400</v>
      </c>
      <c r="H72" s="52">
        <v>21500</v>
      </c>
      <c r="I72" s="52">
        <v>2400</v>
      </c>
      <c r="J72" s="52">
        <v>38780</v>
      </c>
      <c r="K72" s="52">
        <v>39300</v>
      </c>
      <c r="L72" s="52">
        <v>10800</v>
      </c>
      <c r="M72" s="52">
        <v>0</v>
      </c>
      <c r="N72" s="52">
        <v>0</v>
      </c>
      <c r="O72" s="52">
        <v>0</v>
      </c>
    </row>
    <row r="73" spans="1:15" x14ac:dyDescent="0.2">
      <c r="B73" s="51">
        <v>6240002</v>
      </c>
      <c r="C73" s="51" t="s">
        <v>192</v>
      </c>
      <c r="D73" s="52">
        <v>8128.2</v>
      </c>
      <c r="E73" s="52">
        <v>8190</v>
      </c>
      <c r="F73" s="52">
        <v>89346</v>
      </c>
      <c r="G73" s="52">
        <v>8167.8</v>
      </c>
      <c r="H73" s="52">
        <v>8100</v>
      </c>
      <c r="I73" s="52">
        <v>8047.2</v>
      </c>
      <c r="J73" s="52">
        <v>7956</v>
      </c>
      <c r="K73" s="52">
        <v>7965.6</v>
      </c>
      <c r="L73" s="52">
        <v>8010</v>
      </c>
      <c r="M73" s="52">
        <v>0</v>
      </c>
      <c r="N73" s="52">
        <v>0</v>
      </c>
      <c r="O73" s="52">
        <v>0</v>
      </c>
    </row>
    <row r="74" spans="1:15" x14ac:dyDescent="0.2">
      <c r="B74" s="51">
        <v>6240003</v>
      </c>
      <c r="C74" s="51" t="s">
        <v>211</v>
      </c>
      <c r="D74" s="52">
        <v>163182</v>
      </c>
      <c r="E74" s="52">
        <v>81900</v>
      </c>
      <c r="F74" s="52">
        <v>81042</v>
      </c>
      <c r="G74" s="52">
        <v>81516</v>
      </c>
      <c r="H74" s="52">
        <v>67440</v>
      </c>
      <c r="I74" s="52">
        <v>80472</v>
      </c>
      <c r="J74" s="52">
        <v>79572</v>
      </c>
      <c r="K74" s="52">
        <v>79656</v>
      </c>
      <c r="L74" s="52">
        <v>80064</v>
      </c>
      <c r="M74" s="52">
        <v>0</v>
      </c>
      <c r="N74" s="52">
        <v>0</v>
      </c>
      <c r="O74" s="52">
        <v>0</v>
      </c>
    </row>
    <row r="75" spans="1:15" x14ac:dyDescent="0.2">
      <c r="B75" s="51">
        <v>626001</v>
      </c>
      <c r="C75" s="51" t="s">
        <v>154</v>
      </c>
      <c r="D75" s="52">
        <v>11112.91</v>
      </c>
      <c r="E75" s="52">
        <v>12286.94</v>
      </c>
      <c r="F75" s="52">
        <v>12797.78</v>
      </c>
      <c r="G75" s="52">
        <v>12711.76</v>
      </c>
      <c r="H75" s="52">
        <v>13665.65</v>
      </c>
      <c r="I75" s="52">
        <v>24944.400000000001</v>
      </c>
      <c r="J75" s="52">
        <v>27023.71</v>
      </c>
      <c r="K75" s="52">
        <v>24565.52</v>
      </c>
      <c r="L75" s="52">
        <v>28308.36</v>
      </c>
      <c r="M75" s="52">
        <v>0</v>
      </c>
      <c r="N75" s="52">
        <v>0</v>
      </c>
      <c r="O75" s="52">
        <v>0</v>
      </c>
    </row>
    <row r="76" spans="1:15" x14ac:dyDescent="0.2">
      <c r="B76" s="51">
        <v>626003</v>
      </c>
      <c r="C76" s="51" t="s">
        <v>150</v>
      </c>
      <c r="D76" s="52">
        <v>4446.6499999999996</v>
      </c>
      <c r="E76" s="52">
        <v>10818.145</v>
      </c>
      <c r="F76" s="52">
        <v>10766.51</v>
      </c>
      <c r="G76" s="52">
        <v>10810.67</v>
      </c>
      <c r="H76" s="52">
        <v>16366.66</v>
      </c>
      <c r="I76" s="52">
        <v>27134.17</v>
      </c>
      <c r="J76" s="52">
        <v>20721.669999999998</v>
      </c>
      <c r="K76" s="52">
        <v>20700</v>
      </c>
      <c r="L76" s="52">
        <v>16680</v>
      </c>
      <c r="M76" s="52">
        <v>0</v>
      </c>
      <c r="N76" s="52">
        <v>0</v>
      </c>
      <c r="O76" s="52">
        <v>0</v>
      </c>
    </row>
    <row r="77" spans="1:15" x14ac:dyDescent="0.2">
      <c r="B77" s="51">
        <v>6271</v>
      </c>
      <c r="C77" s="51" t="s">
        <v>155</v>
      </c>
      <c r="D77" s="52">
        <v>0</v>
      </c>
      <c r="E77" s="52">
        <v>50844.9</v>
      </c>
      <c r="F77" s="52">
        <v>104851.9</v>
      </c>
      <c r="G77" s="52">
        <v>53253.5</v>
      </c>
      <c r="H77" s="52">
        <v>0</v>
      </c>
      <c r="I77" s="52">
        <v>49111.25</v>
      </c>
      <c r="J77" s="52">
        <v>23832</v>
      </c>
      <c r="K77" s="52">
        <v>0</v>
      </c>
      <c r="L77" s="52">
        <v>106708.6</v>
      </c>
      <c r="M77" s="52">
        <v>62217.599999999999</v>
      </c>
      <c r="N77" s="52">
        <v>0</v>
      </c>
      <c r="O77" s="52">
        <v>0</v>
      </c>
    </row>
    <row r="78" spans="1:15" x14ac:dyDescent="0.2">
      <c r="B78" s="51">
        <v>6276</v>
      </c>
      <c r="C78" s="51" t="s">
        <v>193</v>
      </c>
      <c r="D78" s="52">
        <v>2700</v>
      </c>
      <c r="E78" s="52">
        <v>5833.34</v>
      </c>
      <c r="F78" s="52">
        <v>5833.32</v>
      </c>
      <c r="G78" s="52">
        <v>0</v>
      </c>
      <c r="H78" s="52">
        <v>7500</v>
      </c>
      <c r="I78" s="52">
        <v>833.34</v>
      </c>
      <c r="J78" s="52">
        <v>3333.34</v>
      </c>
      <c r="K78" s="52">
        <v>7500</v>
      </c>
      <c r="L78" s="52">
        <v>0</v>
      </c>
      <c r="M78" s="52">
        <v>0</v>
      </c>
      <c r="N78" s="52">
        <v>0</v>
      </c>
      <c r="O78" s="52">
        <v>0</v>
      </c>
    </row>
    <row r="79" spans="1:15" x14ac:dyDescent="0.2">
      <c r="B79" s="51">
        <v>628</v>
      </c>
      <c r="C79" s="51" t="s">
        <v>120</v>
      </c>
      <c r="D79" s="52">
        <v>105647.57</v>
      </c>
      <c r="E79" s="52">
        <v>74465.740000000005</v>
      </c>
      <c r="F79" s="52">
        <v>60293.66</v>
      </c>
      <c r="G79" s="52">
        <v>69545.03</v>
      </c>
      <c r="H79" s="52">
        <v>64178.86</v>
      </c>
      <c r="I79" s="52">
        <v>76107.740000000005</v>
      </c>
      <c r="J79" s="52">
        <v>54569.53</v>
      </c>
      <c r="K79" s="52">
        <v>82033.570000000007</v>
      </c>
      <c r="L79" s="52">
        <v>61612.62</v>
      </c>
      <c r="M79" s="52">
        <v>0</v>
      </c>
      <c r="N79" s="52">
        <v>0</v>
      </c>
      <c r="O79" s="52">
        <v>0</v>
      </c>
    </row>
    <row r="80" spans="1:15" x14ac:dyDescent="0.2">
      <c r="B80" s="51">
        <v>6320001</v>
      </c>
      <c r="C80" s="51" t="s">
        <v>175</v>
      </c>
      <c r="D80" s="52">
        <v>0</v>
      </c>
      <c r="E80" s="52">
        <v>41542.800000000003</v>
      </c>
      <c r="F80" s="52">
        <v>10187.549999999999</v>
      </c>
      <c r="G80" s="52">
        <v>2995</v>
      </c>
      <c r="H80" s="52">
        <v>0</v>
      </c>
      <c r="I80" s="52">
        <v>0</v>
      </c>
      <c r="J80" s="52">
        <v>0</v>
      </c>
      <c r="K80" s="52">
        <v>0</v>
      </c>
      <c r="L80" s="52">
        <v>42877.8</v>
      </c>
      <c r="M80" s="52">
        <v>0</v>
      </c>
      <c r="N80" s="52">
        <v>0</v>
      </c>
      <c r="O80" s="52">
        <v>0</v>
      </c>
    </row>
    <row r="81" spans="1:15" x14ac:dyDescent="0.2">
      <c r="B81" s="51">
        <v>634</v>
      </c>
      <c r="C81" s="51" t="s">
        <v>194</v>
      </c>
      <c r="D81" s="52">
        <v>0</v>
      </c>
      <c r="E81" s="52">
        <v>0</v>
      </c>
      <c r="F81" s="52">
        <v>90000</v>
      </c>
      <c r="G81" s="52">
        <v>0</v>
      </c>
      <c r="H81" s="52">
        <v>0</v>
      </c>
      <c r="I81" s="52">
        <v>0</v>
      </c>
      <c r="J81" s="52">
        <v>0</v>
      </c>
      <c r="K81" s="52">
        <v>0</v>
      </c>
      <c r="L81" s="52">
        <v>0</v>
      </c>
      <c r="M81" s="52">
        <v>0</v>
      </c>
      <c r="N81" s="52">
        <v>0</v>
      </c>
      <c r="O81" s="52">
        <v>0</v>
      </c>
    </row>
    <row r="82" spans="1:15" x14ac:dyDescent="0.2">
      <c r="B82" s="51">
        <v>638</v>
      </c>
      <c r="C82" s="51" t="s">
        <v>195</v>
      </c>
      <c r="D82" s="52">
        <v>0</v>
      </c>
      <c r="E82" s="52">
        <v>6684</v>
      </c>
      <c r="F82" s="52">
        <v>11888</v>
      </c>
      <c r="G82" s="52">
        <v>2995</v>
      </c>
      <c r="H82" s="52">
        <v>600</v>
      </c>
      <c r="I82" s="52">
        <v>2953</v>
      </c>
      <c r="J82" s="52">
        <v>3117</v>
      </c>
      <c r="K82" s="52">
        <v>0</v>
      </c>
      <c r="L82" s="52">
        <v>11748</v>
      </c>
      <c r="M82" s="52">
        <v>2937</v>
      </c>
      <c r="N82" s="52">
        <v>0</v>
      </c>
      <c r="O82" s="52">
        <v>0</v>
      </c>
    </row>
    <row r="83" spans="1:15" x14ac:dyDescent="0.2">
      <c r="B83" s="51">
        <v>641</v>
      </c>
      <c r="C83" s="51" t="s">
        <v>121</v>
      </c>
      <c r="D83" s="52">
        <v>603782</v>
      </c>
      <c r="E83" s="52">
        <v>616092</v>
      </c>
      <c r="F83" s="52">
        <v>848003</v>
      </c>
      <c r="G83" s="52">
        <v>848003</v>
      </c>
      <c r="H83" s="52">
        <v>838878</v>
      </c>
      <c r="I83" s="52">
        <v>802505</v>
      </c>
      <c r="J83" s="52">
        <v>831373</v>
      </c>
      <c r="K83" s="52">
        <v>850929</v>
      </c>
      <c r="L83" s="52">
        <v>0</v>
      </c>
      <c r="M83" s="52">
        <v>0</v>
      </c>
      <c r="N83" s="52">
        <v>0</v>
      </c>
      <c r="O83" s="52">
        <v>0</v>
      </c>
    </row>
    <row r="84" spans="1:15" x14ac:dyDescent="0.2">
      <c r="B84" s="51">
        <v>644</v>
      </c>
      <c r="C84" s="51" t="s">
        <v>122</v>
      </c>
      <c r="D84" s="52">
        <v>100836</v>
      </c>
      <c r="E84" s="52">
        <v>102888</v>
      </c>
      <c r="F84" s="52">
        <v>137656</v>
      </c>
      <c r="G84" s="52">
        <v>137656</v>
      </c>
      <c r="H84" s="52">
        <v>137303</v>
      </c>
      <c r="I84" s="52">
        <v>131229</v>
      </c>
      <c r="J84" s="52">
        <v>136049</v>
      </c>
      <c r="K84" s="52">
        <v>139315</v>
      </c>
      <c r="L84" s="52">
        <v>0</v>
      </c>
      <c r="M84" s="52">
        <v>0</v>
      </c>
      <c r="N84" s="52">
        <v>0</v>
      </c>
      <c r="O84" s="52">
        <v>0</v>
      </c>
    </row>
    <row r="85" spans="1:15" x14ac:dyDescent="0.2">
      <c r="B85" s="51">
        <v>654</v>
      </c>
      <c r="C85" s="51" t="s">
        <v>212</v>
      </c>
      <c r="D85" s="52">
        <v>0</v>
      </c>
      <c r="E85" s="52">
        <v>0</v>
      </c>
      <c r="F85" s="52">
        <v>0</v>
      </c>
      <c r="G85" s="52">
        <v>16203.6</v>
      </c>
      <c r="H85" s="52">
        <v>30000</v>
      </c>
      <c r="I85" s="52">
        <v>0</v>
      </c>
      <c r="J85" s="52">
        <v>0</v>
      </c>
      <c r="K85" s="52">
        <v>0</v>
      </c>
      <c r="L85" s="52">
        <v>0</v>
      </c>
      <c r="M85" s="52">
        <v>0</v>
      </c>
      <c r="N85" s="52">
        <v>0</v>
      </c>
      <c r="O85" s="52">
        <v>0</v>
      </c>
    </row>
    <row r="86" spans="1:15" x14ac:dyDescent="0.2">
      <c r="B86" s="51">
        <v>657</v>
      </c>
      <c r="C86" s="51" t="s">
        <v>162</v>
      </c>
      <c r="D86" s="52">
        <v>0</v>
      </c>
      <c r="E86" s="52">
        <v>73668</v>
      </c>
      <c r="F86" s="52">
        <v>0</v>
      </c>
      <c r="G86" s="52">
        <v>0</v>
      </c>
      <c r="H86" s="52">
        <v>0</v>
      </c>
      <c r="I86" s="52">
        <v>17473</v>
      </c>
      <c r="J86" s="52">
        <v>0</v>
      </c>
      <c r="K86" s="52">
        <v>200</v>
      </c>
      <c r="L86" s="52">
        <v>0</v>
      </c>
      <c r="M86" s="52">
        <v>0</v>
      </c>
      <c r="N86" s="52">
        <v>0</v>
      </c>
      <c r="O86" s="52">
        <v>0</v>
      </c>
    </row>
    <row r="87" spans="1:15" x14ac:dyDescent="0.2">
      <c r="B87" s="51">
        <v>658</v>
      </c>
      <c r="C87" s="51" t="s">
        <v>196</v>
      </c>
      <c r="D87" s="52">
        <v>0</v>
      </c>
      <c r="E87" s="52">
        <v>0</v>
      </c>
      <c r="F87" s="52">
        <v>0</v>
      </c>
      <c r="G87" s="52">
        <v>0</v>
      </c>
      <c r="H87" s="52">
        <v>0.2</v>
      </c>
      <c r="I87" s="52">
        <v>533.08000000000004</v>
      </c>
      <c r="J87" s="52">
        <v>0</v>
      </c>
      <c r="K87" s="52">
        <v>0</v>
      </c>
      <c r="L87" s="52">
        <v>0</v>
      </c>
      <c r="M87" s="52">
        <v>0</v>
      </c>
      <c r="N87" s="52">
        <v>0</v>
      </c>
      <c r="O87" s="52">
        <v>0</v>
      </c>
    </row>
    <row r="88" spans="1:15" x14ac:dyDescent="0.2">
      <c r="B88" s="51">
        <v>667</v>
      </c>
      <c r="C88" s="51" t="s">
        <v>156</v>
      </c>
      <c r="D88" s="52">
        <v>57832.08</v>
      </c>
      <c r="E88" s="52">
        <v>72900.794200000004</v>
      </c>
      <c r="F88" s="52">
        <v>93739.740900000004</v>
      </c>
      <c r="G88" s="52">
        <v>54284.871899999998</v>
      </c>
      <c r="H88" s="52">
        <v>135663.69990000001</v>
      </c>
      <c r="I88" s="52">
        <v>30116.74</v>
      </c>
      <c r="J88" s="52">
        <v>79737.234899999996</v>
      </c>
      <c r="K88" s="52">
        <v>57751.89</v>
      </c>
      <c r="L88" s="52">
        <v>62005.243999999999</v>
      </c>
      <c r="M88" s="52">
        <v>0</v>
      </c>
      <c r="N88" s="52">
        <v>0</v>
      </c>
      <c r="O88" s="52">
        <v>0</v>
      </c>
    </row>
    <row r="89" spans="1:15" x14ac:dyDescent="0.2">
      <c r="B89" s="51">
        <v>669</v>
      </c>
      <c r="C89" s="51" t="s">
        <v>157</v>
      </c>
      <c r="D89" s="52">
        <v>742</v>
      </c>
      <c r="E89" s="52">
        <v>1421.15</v>
      </c>
      <c r="F89" s="52">
        <v>0.6</v>
      </c>
      <c r="G89" s="52">
        <v>0</v>
      </c>
      <c r="H89" s="52">
        <v>1651.14</v>
      </c>
      <c r="I89" s="52">
        <v>1045.21</v>
      </c>
      <c r="J89" s="52">
        <v>403.58</v>
      </c>
      <c r="K89" s="52">
        <v>266.73</v>
      </c>
      <c r="L89" s="52">
        <v>4.4000000000000004</v>
      </c>
      <c r="M89" s="52">
        <v>0</v>
      </c>
      <c r="N89" s="52">
        <v>0</v>
      </c>
      <c r="O89" s="52">
        <v>0</v>
      </c>
    </row>
    <row r="90" spans="1:15" x14ac:dyDescent="0.2">
      <c r="B90" s="51">
        <v>705</v>
      </c>
      <c r="C90" s="51" t="s">
        <v>132</v>
      </c>
      <c r="D90" s="52">
        <v>-16963333.199999999</v>
      </c>
      <c r="E90" s="52">
        <v>-11618202.59</v>
      </c>
      <c r="F90" s="52">
        <v>-17806411.420000002</v>
      </c>
      <c r="G90" s="52">
        <v>-14113839.710000001</v>
      </c>
      <c r="H90" s="52">
        <v>-42309601.299999997</v>
      </c>
      <c r="I90" s="52">
        <v>-17611594.579999998</v>
      </c>
      <c r="J90" s="52">
        <v>-11858492.76</v>
      </c>
      <c r="K90" s="52">
        <v>-14081429.859999999</v>
      </c>
      <c r="L90" s="52">
        <v>-16530970.34</v>
      </c>
      <c r="M90" s="52">
        <v>0</v>
      </c>
      <c r="N90" s="52">
        <v>0</v>
      </c>
      <c r="O90" s="52">
        <v>0</v>
      </c>
    </row>
    <row r="91" spans="1:15" x14ac:dyDescent="0.2">
      <c r="B91" s="51">
        <v>707</v>
      </c>
      <c r="C91" s="51" t="s">
        <v>213</v>
      </c>
      <c r="D91" s="52">
        <v>0</v>
      </c>
      <c r="E91" s="52">
        <v>-224.17</v>
      </c>
      <c r="F91" s="52">
        <v>0</v>
      </c>
      <c r="G91" s="52">
        <v>0</v>
      </c>
      <c r="H91" s="52">
        <v>0</v>
      </c>
      <c r="I91" s="52">
        <v>0</v>
      </c>
      <c r="J91" s="52">
        <v>0</v>
      </c>
      <c r="K91" s="52">
        <v>0</v>
      </c>
      <c r="L91" s="52">
        <v>0</v>
      </c>
      <c r="M91" s="52">
        <v>0</v>
      </c>
      <c r="N91" s="52">
        <v>0</v>
      </c>
      <c r="O91" s="52">
        <v>0</v>
      </c>
    </row>
    <row r="92" spans="1:15" x14ac:dyDescent="0.2">
      <c r="B92" s="51">
        <v>758</v>
      </c>
      <c r="C92" s="51" t="s">
        <v>197</v>
      </c>
      <c r="D92" s="52">
        <v>0</v>
      </c>
      <c r="E92" s="52">
        <v>0</v>
      </c>
      <c r="F92" s="52">
        <v>-10</v>
      </c>
      <c r="G92" s="52">
        <v>0</v>
      </c>
      <c r="H92" s="52">
        <v>-1.02</v>
      </c>
      <c r="I92" s="52">
        <v>0</v>
      </c>
      <c r="J92" s="52">
        <v>-0.98</v>
      </c>
      <c r="K92" s="52">
        <v>0</v>
      </c>
      <c r="L92" s="52">
        <v>0</v>
      </c>
      <c r="M92" s="52">
        <v>0</v>
      </c>
      <c r="N92" s="52">
        <v>0</v>
      </c>
      <c r="O92" s="52">
        <v>0</v>
      </c>
    </row>
    <row r="93" spans="1:15" x14ac:dyDescent="0.2">
      <c r="B93" s="51">
        <v>767</v>
      </c>
      <c r="C93" s="51" t="s">
        <v>225</v>
      </c>
      <c r="D93" s="52">
        <v>0</v>
      </c>
      <c r="E93" s="52">
        <v>0</v>
      </c>
      <c r="F93" s="52">
        <v>-15.36</v>
      </c>
      <c r="G93" s="52">
        <v>0</v>
      </c>
      <c r="H93" s="52">
        <v>0</v>
      </c>
      <c r="I93" s="52">
        <v>-41.04</v>
      </c>
      <c r="J93" s="52">
        <v>0</v>
      </c>
      <c r="K93" s="52">
        <v>0</v>
      </c>
      <c r="L93" s="52">
        <v>0</v>
      </c>
      <c r="M93" s="52">
        <v>0</v>
      </c>
      <c r="N93" s="52">
        <v>0</v>
      </c>
      <c r="O93" s="52">
        <v>0</v>
      </c>
    </row>
    <row r="94" spans="1:15" x14ac:dyDescent="0.2">
      <c r="B94" s="51">
        <v>769</v>
      </c>
      <c r="C94" s="51" t="s">
        <v>133</v>
      </c>
      <c r="D94" s="52">
        <v>-6094.88</v>
      </c>
      <c r="E94" s="52">
        <v>-20018.04</v>
      </c>
      <c r="F94" s="52">
        <v>-4327.7700000000004</v>
      </c>
      <c r="G94" s="52">
        <v>-8832.23</v>
      </c>
      <c r="H94" s="52">
        <v>-13565.91</v>
      </c>
      <c r="I94" s="52">
        <v>-13772.1</v>
      </c>
      <c r="J94" s="52">
        <v>-11019.43</v>
      </c>
      <c r="K94" s="52">
        <v>-764.18</v>
      </c>
      <c r="L94" s="52">
        <v>-3.6</v>
      </c>
      <c r="M94" s="52">
        <v>0</v>
      </c>
      <c r="N94" s="52">
        <v>0</v>
      </c>
      <c r="O94" s="52">
        <v>0</v>
      </c>
    </row>
    <row r="95" spans="1:15" x14ac:dyDescent="0.2">
      <c r="A95" s="56"/>
      <c r="B95" s="51">
        <v>771</v>
      </c>
      <c r="C95" s="51" t="s">
        <v>226</v>
      </c>
      <c r="D95" s="52">
        <v>0</v>
      </c>
      <c r="E95" s="52">
        <v>0</v>
      </c>
      <c r="F95" s="52">
        <v>-764.07</v>
      </c>
      <c r="G95" s="52">
        <v>-10</v>
      </c>
      <c r="H95" s="52">
        <v>0</v>
      </c>
      <c r="I95" s="52">
        <v>-221.67</v>
      </c>
      <c r="J95" s="52">
        <v>0</v>
      </c>
      <c r="K95" s="52">
        <v>0</v>
      </c>
      <c r="L95" s="52">
        <v>0</v>
      </c>
      <c r="M95" s="52">
        <v>0</v>
      </c>
      <c r="N95" s="52">
        <v>0</v>
      </c>
      <c r="O95" s="52">
        <v>0</v>
      </c>
    </row>
    <row r="96" spans="1:15" x14ac:dyDescent="0.2">
      <c r="B96" s="51">
        <v>791</v>
      </c>
      <c r="C96" s="51" t="s">
        <v>19</v>
      </c>
      <c r="D96" s="52">
        <v>0</v>
      </c>
      <c r="E96" s="52">
        <v>0</v>
      </c>
      <c r="F96" s="52">
        <v>0</v>
      </c>
      <c r="G96" s="52">
        <v>0</v>
      </c>
      <c r="H96" s="52">
        <v>-587.5</v>
      </c>
      <c r="I96" s="52">
        <v>0</v>
      </c>
      <c r="J96" s="52">
        <v>0</v>
      </c>
      <c r="K96" s="52">
        <v>0</v>
      </c>
      <c r="L96" s="52">
        <v>-95337.69</v>
      </c>
      <c r="M96" s="52">
        <v>0</v>
      </c>
      <c r="N96" s="52">
        <v>0</v>
      </c>
      <c r="O96" s="52">
        <v>0</v>
      </c>
    </row>
    <row r="97" spans="1:15" x14ac:dyDescent="0.2">
      <c r="A97" s="56"/>
      <c r="B97" s="51">
        <v>792</v>
      </c>
      <c r="C97" s="51" t="s">
        <v>151</v>
      </c>
      <c r="D97" s="52">
        <v>7798738.6200000001</v>
      </c>
      <c r="E97" s="52">
        <v>5212038.0999999996</v>
      </c>
      <c r="F97" s="52">
        <v>10398378.23</v>
      </c>
      <c r="G97" s="52">
        <v>7430597.6799999997</v>
      </c>
      <c r="H97" s="52">
        <v>19986890.219999999</v>
      </c>
      <c r="I97" s="52">
        <v>4778381.2699999996</v>
      </c>
      <c r="J97" s="52">
        <v>2724334.79</v>
      </c>
      <c r="K97" s="52">
        <v>6840785.7400000002</v>
      </c>
      <c r="L97" s="52">
        <v>5217996.05</v>
      </c>
      <c r="M97" s="52">
        <v>-37321.67</v>
      </c>
      <c r="N97" s="52">
        <v>0</v>
      </c>
      <c r="O97" s="52">
        <v>0</v>
      </c>
    </row>
    <row r="99" spans="1:15" x14ac:dyDescent="0.2">
      <c r="C99" s="51" t="s">
        <v>259</v>
      </c>
      <c r="D99" s="53">
        <f>-SUM(D52:D89)</f>
        <v>-7874667.2169000013</v>
      </c>
      <c r="E99" s="53">
        <f t="shared" ref="E99:O99" si="0">-SUM(E52:E89)</f>
        <v>-6479944.5192000009</v>
      </c>
      <c r="F99" s="53">
        <f t="shared" si="0"/>
        <v>-9071108.067900002</v>
      </c>
      <c r="G99" s="53">
        <f t="shared" si="0"/>
        <v>-8140829.5130000012</v>
      </c>
      <c r="H99" s="53">
        <f t="shared" si="0"/>
        <v>-17521502.833700001</v>
      </c>
      <c r="I99" s="53">
        <f t="shared" si="0"/>
        <v>-10020183.868800001</v>
      </c>
      <c r="J99" s="53">
        <f t="shared" si="0"/>
        <v>-8211843.0931999991</v>
      </c>
      <c r="K99" s="53">
        <f t="shared" si="0"/>
        <v>-7589075.0742000006</v>
      </c>
      <c r="L99" s="53">
        <f t="shared" si="0"/>
        <v>-10227008.100000001</v>
      </c>
      <c r="M99" s="53">
        <f t="shared" si="0"/>
        <v>-103847.43179999996</v>
      </c>
      <c r="N99" s="53">
        <f t="shared" si="0"/>
        <v>0</v>
      </c>
      <c r="O99" s="53">
        <f t="shared" si="0"/>
        <v>0</v>
      </c>
    </row>
    <row r="100" spans="1:15" x14ac:dyDescent="0.2">
      <c r="C100" s="51" t="s">
        <v>260</v>
      </c>
      <c r="D100" s="53">
        <f>+'P&amp;L'!H17+'P&amp;L'!H19+'P&amp;L'!H56</f>
        <v>-8295667.2169000003</v>
      </c>
      <c r="E100" s="53">
        <f>+'P&amp;L'!I17+'P&amp;L'!I19+'P&amp;L'!I56</f>
        <v>-6900944.5192</v>
      </c>
      <c r="F100" s="53">
        <f>+'P&amp;L'!J17+'P&amp;L'!J19+'P&amp;L'!J56</f>
        <v>-9492108.067900002</v>
      </c>
      <c r="G100" s="53">
        <f>+'P&amp;L'!K17+'P&amp;L'!K19+'P&amp;L'!K56</f>
        <v>-8561829.5130000003</v>
      </c>
      <c r="H100" s="53">
        <f>+'P&amp;L'!L17+'P&amp;L'!L19+'P&amp;L'!L56</f>
        <v>-17942502.833700001</v>
      </c>
      <c r="I100" s="53">
        <f>+'P&amp;L'!M17+'P&amp;L'!M19+'P&amp;L'!M56</f>
        <v>-10441183.868799999</v>
      </c>
      <c r="J100" s="53">
        <f>+'P&amp;L'!N17+'P&amp;L'!N19+'P&amp;L'!N56</f>
        <v>-8632843.0932</v>
      </c>
      <c r="K100" s="53">
        <f>+'P&amp;L'!O17+'P&amp;L'!O19+'P&amp;L'!O56</f>
        <v>-8010075.0742000006</v>
      </c>
      <c r="L100" s="53">
        <f>+'P&amp;L'!P17+'P&amp;L'!P19+'P&amp;L'!P56</f>
        <v>-11638252.1</v>
      </c>
      <c r="M100" s="53">
        <f>+'P&amp;L'!Q17+'P&amp;L'!Q19+'P&amp;L'!Q56</f>
        <v>-8525055</v>
      </c>
      <c r="N100" s="53">
        <f>+'P&amp;L'!R17+'P&amp;L'!R19+'P&amp;L'!R56</f>
        <v>-17025055</v>
      </c>
      <c r="O100" s="53">
        <f>+'P&amp;L'!S17+'P&amp;L'!S19+'P&amp;L'!S56</f>
        <v>-12775055</v>
      </c>
    </row>
    <row r="101" spans="1:15" x14ac:dyDescent="0.2">
      <c r="C101" s="51" t="s">
        <v>261</v>
      </c>
      <c r="D101" s="53">
        <f>+D99-D100</f>
        <v>420999.99999999907</v>
      </c>
      <c r="E101" s="53">
        <f t="shared" ref="E101:O101" si="1">+E99-E100</f>
        <v>420999.99999999907</v>
      </c>
      <c r="F101" s="53">
        <f t="shared" si="1"/>
        <v>421000</v>
      </c>
      <c r="G101" s="53">
        <f t="shared" si="1"/>
        <v>420999.99999999907</v>
      </c>
      <c r="H101" s="53">
        <f t="shared" si="1"/>
        <v>421000</v>
      </c>
      <c r="I101" s="53">
        <f t="shared" si="1"/>
        <v>420999.99999999814</v>
      </c>
      <c r="J101" s="53">
        <f t="shared" si="1"/>
        <v>421000.00000000093</v>
      </c>
      <c r="K101" s="53">
        <f t="shared" si="1"/>
        <v>421000</v>
      </c>
      <c r="L101" s="53">
        <f t="shared" si="1"/>
        <v>1411243.9999999981</v>
      </c>
      <c r="M101" s="53">
        <f t="shared" si="1"/>
        <v>8421207.5681999996</v>
      </c>
      <c r="N101" s="53">
        <f t="shared" si="1"/>
        <v>17025055</v>
      </c>
      <c r="O101" s="53">
        <f t="shared" si="1"/>
        <v>12775055</v>
      </c>
    </row>
    <row r="102" spans="1:15" x14ac:dyDescent="0.2">
      <c r="N102" s="53"/>
      <c r="O102" s="53"/>
    </row>
    <row r="103" spans="1:15" x14ac:dyDescent="0.2">
      <c r="C103" s="51" t="s">
        <v>262</v>
      </c>
      <c r="D103" s="53">
        <f>-SUM(D90:D97)</f>
        <v>9170689.4599999972</v>
      </c>
      <c r="E103" s="53">
        <f t="shared" ref="E103:O103" si="2">-SUM(E90:E97)</f>
        <v>6426406.6999999993</v>
      </c>
      <c r="F103" s="53">
        <f t="shared" si="2"/>
        <v>7413150.3900000006</v>
      </c>
      <c r="G103" s="53">
        <f t="shared" si="2"/>
        <v>6692084.2600000016</v>
      </c>
      <c r="H103" s="53">
        <f t="shared" si="2"/>
        <v>22336865.509999998</v>
      </c>
      <c r="I103" s="53">
        <f t="shared" si="2"/>
        <v>12847248.120000001</v>
      </c>
      <c r="J103" s="53">
        <f t="shared" si="2"/>
        <v>9145178.379999999</v>
      </c>
      <c r="K103" s="53">
        <f t="shared" si="2"/>
        <v>7241408.2999999989</v>
      </c>
      <c r="L103" s="53">
        <f t="shared" si="2"/>
        <v>11408315.579999998</v>
      </c>
      <c r="M103" s="53">
        <f t="shared" si="2"/>
        <v>37321.67</v>
      </c>
      <c r="N103" s="53">
        <f t="shared" si="2"/>
        <v>0</v>
      </c>
      <c r="O103" s="53">
        <f t="shared" si="2"/>
        <v>0</v>
      </c>
    </row>
    <row r="104" spans="1:15" x14ac:dyDescent="0.2">
      <c r="C104" s="51" t="s">
        <v>263</v>
      </c>
      <c r="D104" s="53">
        <f>+'P&amp;L'!H14</f>
        <v>9170689.4599999972</v>
      </c>
      <c r="E104" s="53">
        <f>+'P&amp;L'!I14</f>
        <v>6426406.6999999993</v>
      </c>
      <c r="F104" s="53">
        <f>+'P&amp;L'!J14</f>
        <v>7413150.3900000006</v>
      </c>
      <c r="G104" s="53">
        <f>+'P&amp;L'!K14</f>
        <v>6692084.2600000016</v>
      </c>
      <c r="H104" s="53">
        <f>+'P&amp;L'!L14</f>
        <v>22336865.509999998</v>
      </c>
      <c r="I104" s="53">
        <f>+'P&amp;L'!M14</f>
        <v>12847248.119999997</v>
      </c>
      <c r="J104" s="53">
        <f>+'P&amp;L'!N14</f>
        <v>9145178.379999999</v>
      </c>
      <c r="K104" s="53">
        <f>+'P&amp;L'!O14</f>
        <v>7241408.2999999989</v>
      </c>
      <c r="L104" s="53">
        <f>+'P&amp;L'!P14</f>
        <v>11408315.579999998</v>
      </c>
      <c r="M104" s="53">
        <f>+'P&amp;L'!Q14</f>
        <v>10537321.67</v>
      </c>
      <c r="N104" s="53">
        <f>+'P&amp;L'!R14</f>
        <v>20500000</v>
      </c>
      <c r="O104" s="53">
        <f>+'P&amp;L'!S14</f>
        <v>15500000</v>
      </c>
    </row>
    <row r="105" spans="1:15" x14ac:dyDescent="0.2">
      <c r="C105" s="51" t="s">
        <v>261</v>
      </c>
      <c r="D105" s="53">
        <f>+D103-D104</f>
        <v>0</v>
      </c>
      <c r="E105" s="53">
        <f t="shared" ref="E105:O105" si="3">+E103-E104</f>
        <v>0</v>
      </c>
      <c r="F105" s="53">
        <f t="shared" si="3"/>
        <v>0</v>
      </c>
      <c r="G105" s="53">
        <f t="shared" si="3"/>
        <v>0</v>
      </c>
      <c r="H105" s="53">
        <f t="shared" si="3"/>
        <v>0</v>
      </c>
      <c r="I105" s="53">
        <f t="shared" si="3"/>
        <v>0</v>
      </c>
      <c r="J105" s="53">
        <f t="shared" si="3"/>
        <v>0</v>
      </c>
      <c r="K105" s="53">
        <f t="shared" si="3"/>
        <v>0</v>
      </c>
      <c r="L105" s="53">
        <f t="shared" si="3"/>
        <v>0</v>
      </c>
      <c r="M105" s="53">
        <f t="shared" si="3"/>
        <v>-10500000</v>
      </c>
      <c r="N105" s="53">
        <f t="shared" si="3"/>
        <v>-20500000</v>
      </c>
      <c r="O105" s="53">
        <f t="shared" si="3"/>
        <v>-15500000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P&amp;L</vt:lpstr>
      <vt:lpstr>CashFlow</vt:lpstr>
      <vt:lpstr>Inventories</vt:lpstr>
      <vt:lpstr>VAT</vt:lpstr>
      <vt:lpstr>dividenti</vt:lpstr>
      <vt:lpstr>lv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2017-10-13T09:04:15Z</dcterms:modified>
</cp:coreProperties>
</file>