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8431"/>
  <workbookPr filterPrivacy="1" defaultThemeVersion="124226"/>
  <xr:revisionPtr revIDLastSave="84" documentId="D73F38675772FA73C5BC8191A27AC03BE2DCD16E" xr6:coauthVersionLast="23" xr6:coauthVersionMax="23" xr10:uidLastSave="{35231D8C-DAD9-459F-983D-6789E4BA43E8}"/>
  <bookViews>
    <workbookView xWindow="240" yWindow="105" windowWidth="14805" windowHeight="8010" xr2:uid="{00000000-000D-0000-FFFF-FFFF00000000}"/>
  </bookViews>
  <sheets>
    <sheet name="P&amp;L" sheetId="5" r:id="rId1"/>
    <sheet name="CashFlow" sheetId="8" r:id="rId2"/>
    <sheet name="Inventories" sheetId="9" r:id="rId3"/>
    <sheet name="VAT" sheetId="11" r:id="rId4"/>
    <sheet name="dividenti" sheetId="13" r:id="rId5"/>
    <sheet name="lv" sheetId="12" r:id="rId6"/>
  </sheets>
  <calcPr calcId="171027"/>
</workbook>
</file>

<file path=xl/calcChain.xml><?xml version="1.0" encoding="utf-8"?>
<calcChain xmlns="http://schemas.openxmlformats.org/spreadsheetml/2006/main">
  <c r="P46" i="8" l="1"/>
  <c r="F46" i="8"/>
  <c r="G46" i="8"/>
  <c r="H46" i="8"/>
  <c r="I46" i="8"/>
  <c r="J46" i="8"/>
  <c r="K46" i="8"/>
  <c r="L46" i="8"/>
  <c r="M46" i="8"/>
  <c r="N46" i="8"/>
  <c r="O46" i="8"/>
  <c r="E46" i="8"/>
  <c r="E49" i="8"/>
  <c r="K30" i="8"/>
  <c r="L30" i="8"/>
  <c r="M30" i="8"/>
  <c r="K11" i="9"/>
  <c r="L11" i="9"/>
  <c r="M11" i="9"/>
  <c r="F9" i="9"/>
  <c r="G9" i="9"/>
  <c r="H9" i="9"/>
  <c r="I9" i="9"/>
  <c r="J9" i="9"/>
  <c r="K9" i="9"/>
  <c r="L9" i="9"/>
  <c r="M9" i="9"/>
  <c r="E9" i="9"/>
  <c r="T27" i="5"/>
  <c r="T31" i="5"/>
  <c r="T41" i="5"/>
  <c r="T51" i="5"/>
  <c r="T52" i="5"/>
  <c r="E109" i="12"/>
  <c r="F109" i="12"/>
  <c r="G109" i="12"/>
  <c r="H109" i="12"/>
  <c r="I109" i="12"/>
  <c r="J109" i="12"/>
  <c r="K109" i="12"/>
  <c r="L109" i="12"/>
  <c r="M109" i="12"/>
  <c r="N109" i="12"/>
  <c r="O109" i="12"/>
  <c r="D109" i="12"/>
  <c r="E105" i="12"/>
  <c r="F105" i="12"/>
  <c r="G105" i="12"/>
  <c r="H105" i="12"/>
  <c r="I105" i="12"/>
  <c r="J105" i="12"/>
  <c r="K105" i="12"/>
  <c r="L105" i="12"/>
  <c r="M105" i="12"/>
  <c r="N105" i="12"/>
  <c r="O105" i="12"/>
  <c r="D105" i="12"/>
  <c r="P47" i="8" l="1"/>
  <c r="N24" i="5"/>
  <c r="O24" i="5"/>
  <c r="P24" i="5"/>
  <c r="N25" i="5"/>
  <c r="O25" i="5"/>
  <c r="P25" i="5"/>
  <c r="N26" i="5"/>
  <c r="O26" i="5"/>
  <c r="P26" i="5"/>
  <c r="N28" i="5"/>
  <c r="O28" i="5"/>
  <c r="P28" i="5"/>
  <c r="N29" i="5"/>
  <c r="O29" i="5"/>
  <c r="P29" i="5"/>
  <c r="N30" i="5"/>
  <c r="O30" i="5"/>
  <c r="P30" i="5"/>
  <c r="N32" i="5"/>
  <c r="O32" i="5"/>
  <c r="P32" i="5"/>
  <c r="N33" i="5"/>
  <c r="O33" i="5"/>
  <c r="P33" i="5"/>
  <c r="N34" i="5"/>
  <c r="O34" i="5"/>
  <c r="P34" i="5"/>
  <c r="N35" i="5"/>
  <c r="O35" i="5"/>
  <c r="O36" i="5" s="1"/>
  <c r="P35" i="5"/>
  <c r="P36" i="5" s="1"/>
  <c r="N36" i="5"/>
  <c r="N37" i="5"/>
  <c r="O37" i="5"/>
  <c r="P37" i="5"/>
  <c r="N38" i="5"/>
  <c r="O38" i="5"/>
  <c r="P38" i="5"/>
  <c r="N39" i="5"/>
  <c r="O39" i="5"/>
  <c r="P39" i="5"/>
  <c r="N40" i="5"/>
  <c r="O40" i="5"/>
  <c r="P40" i="5"/>
  <c r="N42" i="5"/>
  <c r="O42" i="5"/>
  <c r="P42" i="5"/>
  <c r="N43" i="5"/>
  <c r="O43" i="5"/>
  <c r="P43" i="5"/>
  <c r="N44" i="5"/>
  <c r="O44" i="5"/>
  <c r="P44" i="5"/>
  <c r="N45" i="5"/>
  <c r="O45" i="5"/>
  <c r="P45" i="5"/>
  <c r="N46" i="5"/>
  <c r="O46" i="5"/>
  <c r="P46" i="5"/>
  <c r="N47" i="5"/>
  <c r="O47" i="5"/>
  <c r="P47" i="5"/>
  <c r="N48" i="5"/>
  <c r="O48" i="5"/>
  <c r="P48" i="5"/>
  <c r="N49" i="5"/>
  <c r="O49" i="5"/>
  <c r="P49" i="5"/>
  <c r="N50" i="5"/>
  <c r="O50" i="5"/>
  <c r="P50" i="5"/>
  <c r="N19" i="5"/>
  <c r="O19" i="5"/>
  <c r="P19" i="5"/>
  <c r="N17" i="5"/>
  <c r="O17" i="5"/>
  <c r="P17" i="5"/>
  <c r="N7" i="5"/>
  <c r="O7" i="5"/>
  <c r="P7" i="5"/>
  <c r="N8" i="5"/>
  <c r="O8" i="5"/>
  <c r="P8" i="5"/>
  <c r="N10" i="5"/>
  <c r="O10" i="5"/>
  <c r="P10" i="5"/>
  <c r="N11" i="5"/>
  <c r="O11" i="5"/>
  <c r="P11" i="5"/>
  <c r="N12" i="5"/>
  <c r="O12" i="5"/>
  <c r="P12" i="5"/>
  <c r="P18" i="5" l="1"/>
  <c r="O18" i="5"/>
  <c r="N18" i="5"/>
  <c r="AI3" i="13" l="1"/>
  <c r="AE3" i="13"/>
  <c r="Z3" i="13"/>
  <c r="I30" i="8"/>
  <c r="J30" i="8"/>
  <c r="I17" i="5"/>
  <c r="J17" i="5"/>
  <c r="K17" i="5"/>
  <c r="L17" i="5"/>
  <c r="M17" i="5"/>
  <c r="H17" i="5"/>
  <c r="I28" i="5"/>
  <c r="J28" i="5"/>
  <c r="K28" i="5"/>
  <c r="L28" i="5"/>
  <c r="M28" i="5"/>
  <c r="H28" i="5"/>
  <c r="L26" i="5"/>
  <c r="M26" i="5"/>
  <c r="L30" i="5"/>
  <c r="L29" i="5" s="1"/>
  <c r="M30" i="5"/>
  <c r="M29" i="5" s="1"/>
  <c r="L32" i="5"/>
  <c r="M32" i="5"/>
  <c r="L33" i="5"/>
  <c r="M33" i="5"/>
  <c r="L34" i="5"/>
  <c r="M34" i="5"/>
  <c r="L35" i="5"/>
  <c r="L36" i="5" s="1"/>
  <c r="M35" i="5"/>
  <c r="M36" i="5" s="1"/>
  <c r="L37" i="5"/>
  <c r="M37" i="5"/>
  <c r="L38" i="5"/>
  <c r="M38" i="5"/>
  <c r="L39" i="5"/>
  <c r="M39" i="5"/>
  <c r="L40" i="5"/>
  <c r="M40" i="5"/>
  <c r="L42" i="5"/>
  <c r="M42" i="5"/>
  <c r="L43" i="5"/>
  <c r="M43" i="5"/>
  <c r="L44" i="5"/>
  <c r="M44" i="5"/>
  <c r="L45" i="5"/>
  <c r="M45" i="5"/>
  <c r="L46" i="5"/>
  <c r="M46" i="5"/>
  <c r="L47" i="5"/>
  <c r="M47" i="5"/>
  <c r="L48" i="5"/>
  <c r="M48" i="5"/>
  <c r="L49" i="5"/>
  <c r="M49" i="5"/>
  <c r="L50" i="5"/>
  <c r="M50" i="5"/>
  <c r="I24" i="5"/>
  <c r="J24" i="5"/>
  <c r="K24" i="5"/>
  <c r="L24" i="5"/>
  <c r="M24" i="5"/>
  <c r="L19" i="5"/>
  <c r="M19" i="5"/>
  <c r="L7" i="5"/>
  <c r="M7" i="5"/>
  <c r="L8" i="5"/>
  <c r="L18" i="5" s="1"/>
  <c r="M8" i="5"/>
  <c r="L10" i="5"/>
  <c r="M10" i="5"/>
  <c r="L11" i="5"/>
  <c r="M11" i="5"/>
  <c r="L12" i="5"/>
  <c r="M12" i="5"/>
  <c r="I25" i="5"/>
  <c r="J25" i="5"/>
  <c r="K25" i="5"/>
  <c r="L25" i="5"/>
  <c r="M25" i="5"/>
  <c r="H25" i="5"/>
  <c r="T28" i="5" l="1"/>
  <c r="T25" i="5"/>
  <c r="J11" i="9"/>
  <c r="I11" i="9"/>
  <c r="M18" i="5"/>
  <c r="P49" i="8"/>
  <c r="O49" i="8"/>
  <c r="N49" i="8"/>
  <c r="M49" i="8"/>
  <c r="L49" i="8"/>
  <c r="K49" i="8"/>
  <c r="J49" i="8"/>
  <c r="I49" i="8"/>
  <c r="H49" i="8"/>
  <c r="G49" i="8"/>
  <c r="F49" i="8"/>
  <c r="P52" i="8"/>
  <c r="O52" i="8"/>
  <c r="N52" i="8"/>
  <c r="M52" i="8"/>
  <c r="L52" i="8"/>
  <c r="K52" i="8"/>
  <c r="J52" i="8"/>
  <c r="I52" i="8"/>
  <c r="H52" i="8"/>
  <c r="G52" i="8"/>
  <c r="F52" i="8"/>
  <c r="E52" i="8"/>
  <c r="F30" i="8"/>
  <c r="F37" i="8" s="1"/>
  <c r="G30" i="8"/>
  <c r="H30" i="8"/>
  <c r="E30" i="8"/>
  <c r="H23" i="8"/>
  <c r="G23" i="8"/>
  <c r="F23" i="8"/>
  <c r="E23" i="8"/>
  <c r="T60" i="5"/>
  <c r="K37" i="5" l="1"/>
  <c r="J37" i="5"/>
  <c r="I37" i="5"/>
  <c r="H37" i="5"/>
  <c r="T37" i="5" s="1"/>
  <c r="K43" i="5"/>
  <c r="J43" i="5"/>
  <c r="I43" i="5"/>
  <c r="H43" i="5"/>
  <c r="T43" i="5" s="1"/>
  <c r="K47" i="5"/>
  <c r="J47" i="5"/>
  <c r="I47" i="5"/>
  <c r="H47" i="5"/>
  <c r="T47" i="5" s="1"/>
  <c r="K48" i="5"/>
  <c r="J48" i="5"/>
  <c r="I48" i="5"/>
  <c r="H48" i="5"/>
  <c r="K50" i="5"/>
  <c r="J50" i="5"/>
  <c r="I50" i="5"/>
  <c r="H50" i="5"/>
  <c r="K29" i="5"/>
  <c r="J29" i="5"/>
  <c r="K30" i="5"/>
  <c r="J30" i="5"/>
  <c r="I30" i="5"/>
  <c r="I29" i="5" s="1"/>
  <c r="H30" i="5"/>
  <c r="S30" i="5"/>
  <c r="R30" i="5"/>
  <c r="Q30" i="5"/>
  <c r="K10" i="5"/>
  <c r="J10" i="5"/>
  <c r="I10" i="5"/>
  <c r="H10" i="5"/>
  <c r="H29" i="5" l="1"/>
  <c r="T29" i="5" s="1"/>
  <c r="T30" i="5"/>
  <c r="T50" i="5"/>
  <c r="J10" i="11"/>
  <c r="S46" i="5" l="1"/>
  <c r="R46" i="5"/>
  <c r="Q46" i="5"/>
  <c r="K42" i="5"/>
  <c r="J42" i="5"/>
  <c r="I42" i="5"/>
  <c r="H42" i="5"/>
  <c r="T42" i="5" s="1"/>
  <c r="H40" i="5"/>
  <c r="K33" i="5"/>
  <c r="J33" i="5"/>
  <c r="I33" i="5"/>
  <c r="H33" i="5"/>
  <c r="T33" i="5" s="1"/>
  <c r="H32" i="5"/>
  <c r="I26" i="5"/>
  <c r="J26" i="5"/>
  <c r="K26" i="5"/>
  <c r="H26" i="5"/>
  <c r="S12" i="5"/>
  <c r="R12" i="5"/>
  <c r="Q12" i="5"/>
  <c r="E37" i="8"/>
  <c r="T26" i="5" l="1"/>
  <c r="F10" i="11"/>
  <c r="G10" i="11"/>
  <c r="H10" i="11"/>
  <c r="I10" i="11"/>
  <c r="K10" i="11"/>
  <c r="L10" i="11"/>
  <c r="M10" i="11"/>
  <c r="N10" i="11"/>
  <c r="O10" i="11"/>
  <c r="P10" i="11"/>
  <c r="E10" i="11" l="1"/>
  <c r="E26" i="8"/>
  <c r="P53" i="8"/>
  <c r="P50" i="8"/>
  <c r="I39" i="5"/>
  <c r="J39" i="5"/>
  <c r="K39" i="5"/>
  <c r="H39" i="5"/>
  <c r="H38" i="5"/>
  <c r="T38" i="5" s="1"/>
  <c r="I38" i="5"/>
  <c r="J38" i="5"/>
  <c r="K38" i="5"/>
  <c r="I32" i="5"/>
  <c r="T32" i="5" s="1"/>
  <c r="J32" i="5"/>
  <c r="K32" i="5"/>
  <c r="I34" i="5"/>
  <c r="J34" i="5"/>
  <c r="K34" i="5"/>
  <c r="I35" i="5"/>
  <c r="I36" i="5" s="1"/>
  <c r="J35" i="5"/>
  <c r="J36" i="5" s="1"/>
  <c r="K35" i="5"/>
  <c r="K36" i="5" s="1"/>
  <c r="I40" i="5"/>
  <c r="J40" i="5"/>
  <c r="K40" i="5"/>
  <c r="I44" i="5"/>
  <c r="J44" i="5"/>
  <c r="K44" i="5"/>
  <c r="I45" i="5"/>
  <c r="J45" i="5"/>
  <c r="K45" i="5"/>
  <c r="I46" i="5"/>
  <c r="J46" i="5"/>
  <c r="K46" i="5"/>
  <c r="I49" i="5"/>
  <c r="J49" i="5"/>
  <c r="K49" i="5"/>
  <c r="I7" i="5"/>
  <c r="J7" i="5"/>
  <c r="K7" i="5"/>
  <c r="I8" i="5"/>
  <c r="J8" i="5"/>
  <c r="K8" i="5"/>
  <c r="K18" i="5" s="1"/>
  <c r="I11" i="5"/>
  <c r="J11" i="5"/>
  <c r="K11" i="5"/>
  <c r="I12" i="5"/>
  <c r="J12" i="5"/>
  <c r="K12" i="5"/>
  <c r="T39" i="5" l="1"/>
  <c r="T40" i="5"/>
  <c r="K14" i="5"/>
  <c r="G110" i="12" s="1"/>
  <c r="G111" i="12" s="1"/>
  <c r="M14" i="5"/>
  <c r="I14" i="5"/>
  <c r="E110" i="12" s="1"/>
  <c r="E111" i="12" s="1"/>
  <c r="N14" i="5"/>
  <c r="L14" i="5"/>
  <c r="J14" i="5"/>
  <c r="F110" i="12" s="1"/>
  <c r="F111" i="12" s="1"/>
  <c r="O23" i="9"/>
  <c r="P23" i="9"/>
  <c r="F23" i="9"/>
  <c r="G23" i="9"/>
  <c r="H23" i="9"/>
  <c r="I23" i="9"/>
  <c r="J23" i="9"/>
  <c r="K23" i="9"/>
  <c r="L23" i="9"/>
  <c r="M23" i="9"/>
  <c r="N23" i="9"/>
  <c r="E23" i="9"/>
  <c r="E20" i="9"/>
  <c r="I12" i="11" l="1"/>
  <c r="H110" i="12"/>
  <c r="H111" i="12" s="1"/>
  <c r="K12" i="11"/>
  <c r="J110" i="12"/>
  <c r="J111" i="12" s="1"/>
  <c r="J12" i="11"/>
  <c r="I110" i="12"/>
  <c r="I111" i="12" s="1"/>
  <c r="F12" i="11"/>
  <c r="H12" i="11"/>
  <c r="G12" i="11"/>
  <c r="S17" i="5"/>
  <c r="R17" i="5"/>
  <c r="Q17" i="5"/>
  <c r="S7" i="5"/>
  <c r="Q7" i="5"/>
  <c r="R7" i="5"/>
  <c r="H7" i="5"/>
  <c r="I18" i="5" l="1"/>
  <c r="J18" i="5"/>
  <c r="R48" i="5"/>
  <c r="R44" i="5"/>
  <c r="M10" i="8" l="1"/>
  <c r="N10" i="8"/>
  <c r="O10" i="8"/>
  <c r="P10" i="8"/>
  <c r="F10" i="8"/>
  <c r="G10" i="8"/>
  <c r="H10" i="8"/>
  <c r="I10" i="8"/>
  <c r="J10" i="8"/>
  <c r="K10" i="8"/>
  <c r="L10" i="8"/>
  <c r="E10" i="8"/>
  <c r="Q44" i="5"/>
  <c r="H49" i="5" l="1"/>
  <c r="T49" i="5" s="1"/>
  <c r="Q48" i="5"/>
  <c r="S48" i="5"/>
  <c r="H46" i="5"/>
  <c r="T46" i="5" s="1"/>
  <c r="H45" i="5"/>
  <c r="T45" i="5" s="1"/>
  <c r="S44" i="5"/>
  <c r="H44" i="5"/>
  <c r="H35" i="5"/>
  <c r="T35" i="5" s="1"/>
  <c r="H34" i="5"/>
  <c r="T34" i="5" s="1"/>
  <c r="H24" i="5"/>
  <c r="H19" i="5"/>
  <c r="Q10" i="5"/>
  <c r="R10" i="5"/>
  <c r="S10" i="5"/>
  <c r="H8" i="5"/>
  <c r="H18" i="5" s="1"/>
  <c r="T44" i="5" l="1"/>
  <c r="T48" i="5"/>
  <c r="H36" i="5"/>
  <c r="T36" i="5" s="1"/>
  <c r="K19" i="5"/>
  <c r="Q19" i="5"/>
  <c r="R19" i="5"/>
  <c r="S19" i="5"/>
  <c r="I19" i="5"/>
  <c r="L12" i="8"/>
  <c r="M12" i="8"/>
  <c r="N12" i="8"/>
  <c r="O12" i="8"/>
  <c r="P12" i="8"/>
  <c r="K12" i="8"/>
  <c r="H12" i="8"/>
  <c r="I12" i="8"/>
  <c r="J12" i="8"/>
  <c r="G12" i="8"/>
  <c r="J19" i="5"/>
  <c r="H8" i="8"/>
  <c r="Q11" i="5"/>
  <c r="R11" i="5"/>
  <c r="S11" i="5"/>
  <c r="H11" i="5"/>
  <c r="H12" i="5"/>
  <c r="H54" i="5" l="1"/>
  <c r="D106" i="12" s="1"/>
  <c r="D107" i="12" s="1"/>
  <c r="H14" i="5"/>
  <c r="D110" i="12" s="1"/>
  <c r="D111" i="12" s="1"/>
  <c r="T11" i="5"/>
  <c r="T10" i="5"/>
  <c r="F12" i="8"/>
  <c r="T12" i="5"/>
  <c r="F25" i="9"/>
  <c r="O9" i="11"/>
  <c r="N9" i="11"/>
  <c r="M9" i="11"/>
  <c r="L9" i="11"/>
  <c r="J9" i="11"/>
  <c r="I9" i="11"/>
  <c r="H9" i="11"/>
  <c r="G9" i="11"/>
  <c r="F9" i="11"/>
  <c r="O8" i="11"/>
  <c r="N8" i="11"/>
  <c r="M8" i="11"/>
  <c r="L8" i="11"/>
  <c r="J8" i="11"/>
  <c r="I8" i="11"/>
  <c r="H8" i="11"/>
  <c r="G8" i="11"/>
  <c r="F8" i="11"/>
  <c r="O25" i="9"/>
  <c r="N25" i="9"/>
  <c r="M25" i="9"/>
  <c r="L25" i="9"/>
  <c r="J25" i="9"/>
  <c r="I25" i="9"/>
  <c r="H25" i="9"/>
  <c r="G25" i="9"/>
  <c r="E21" i="9"/>
  <c r="H56" i="5" l="1"/>
  <c r="E12" i="11"/>
  <c r="P26" i="8"/>
  <c r="L26" i="8"/>
  <c r="F26" i="8"/>
  <c r="O26" i="8"/>
  <c r="M26" i="8"/>
  <c r="J26" i="8"/>
  <c r="I26" i="8"/>
  <c r="H26" i="8"/>
  <c r="N26" i="8"/>
  <c r="K26" i="8"/>
  <c r="G26" i="8"/>
  <c r="P37" i="8"/>
  <c r="O37" i="8"/>
  <c r="N37" i="8"/>
  <c r="M37" i="8"/>
  <c r="L37" i="8"/>
  <c r="K37" i="8"/>
  <c r="J37" i="8"/>
  <c r="I37" i="8"/>
  <c r="H37" i="8"/>
  <c r="G37" i="8"/>
  <c r="K8" i="11" l="1"/>
  <c r="P8" i="11"/>
  <c r="E8" i="11"/>
  <c r="E11" i="8" l="1"/>
  <c r="E12" i="8"/>
  <c r="F11" i="9" l="1"/>
  <c r="F27" i="9" s="1"/>
  <c r="K27" i="9"/>
  <c r="P11" i="9"/>
  <c r="P27" i="9" s="1"/>
  <c r="G11" i="9"/>
  <c r="G27" i="9" s="1"/>
  <c r="H11" i="9"/>
  <c r="H27" i="9" s="1"/>
  <c r="T9" i="5"/>
  <c r="J27" i="9" l="1"/>
  <c r="L27" i="9"/>
  <c r="E11" i="9"/>
  <c r="I27" i="9"/>
  <c r="M27" i="9"/>
  <c r="T19" i="5"/>
  <c r="E27" i="9" l="1"/>
  <c r="E13" i="9"/>
  <c r="T7" i="5" l="1"/>
  <c r="T6" i="5"/>
  <c r="T13" i="5"/>
  <c r="P14" i="5"/>
  <c r="L110" i="12" s="1"/>
  <c r="L111" i="12" s="1"/>
  <c r="I8" i="8"/>
  <c r="G8" i="8"/>
  <c r="F8" i="8"/>
  <c r="M8" i="8" l="1"/>
  <c r="M12" i="11"/>
  <c r="E8" i="8"/>
  <c r="K8" i="8"/>
  <c r="R14" i="5"/>
  <c r="N110" i="12" s="1"/>
  <c r="N111" i="12" s="1"/>
  <c r="J8" i="8"/>
  <c r="O14" i="5"/>
  <c r="K110" i="12" s="1"/>
  <c r="K111" i="12" s="1"/>
  <c r="Q14" i="5"/>
  <c r="M110" i="12" s="1"/>
  <c r="M111" i="12" s="1"/>
  <c r="I54" i="5"/>
  <c r="E106" i="12" s="1"/>
  <c r="E107" i="12" s="1"/>
  <c r="S14" i="5"/>
  <c r="O110" i="12" s="1"/>
  <c r="O111" i="12" s="1"/>
  <c r="T24" i="5"/>
  <c r="T54" i="5" s="1"/>
  <c r="T8" i="5"/>
  <c r="T14" i="5" s="1"/>
  <c r="J54" i="5"/>
  <c r="F106" i="12" s="1"/>
  <c r="F107" i="12" s="1"/>
  <c r="L54" i="5"/>
  <c r="H106" i="12" s="1"/>
  <c r="H107" i="12" s="1"/>
  <c r="N54" i="5"/>
  <c r="J106" i="12" s="1"/>
  <c r="J107" i="12" s="1"/>
  <c r="P54" i="5"/>
  <c r="L106" i="12" s="1"/>
  <c r="L107" i="12" s="1"/>
  <c r="R54" i="5"/>
  <c r="K54" i="5"/>
  <c r="G106" i="12" s="1"/>
  <c r="G107" i="12" s="1"/>
  <c r="O54" i="5"/>
  <c r="K106" i="12" s="1"/>
  <c r="K107" i="12" s="1"/>
  <c r="S54" i="5"/>
  <c r="P11" i="8" l="1"/>
  <c r="O106" i="12"/>
  <c r="O107" i="12" s="1"/>
  <c r="O11" i="8"/>
  <c r="N106" i="12"/>
  <c r="N107" i="12" s="1"/>
  <c r="L8" i="8"/>
  <c r="L12" i="11"/>
  <c r="P8" i="8"/>
  <c r="P12" i="11"/>
  <c r="O8" i="8"/>
  <c r="O12" i="11"/>
  <c r="N8" i="8"/>
  <c r="N12" i="11"/>
  <c r="H11" i="8"/>
  <c r="H15" i="8" s="1"/>
  <c r="H39" i="8" s="1"/>
  <c r="M11" i="8"/>
  <c r="M15" i="8" s="1"/>
  <c r="M39" i="8" s="1"/>
  <c r="I11" i="8"/>
  <c r="I15" i="8" s="1"/>
  <c r="I39" i="8" s="1"/>
  <c r="L11" i="8"/>
  <c r="K11" i="8"/>
  <c r="G11" i="8"/>
  <c r="G15" i="8" s="1"/>
  <c r="G39" i="8" s="1"/>
  <c r="F11" i="8"/>
  <c r="F15" i="8" s="1"/>
  <c r="F39" i="8" s="1"/>
  <c r="S56" i="5"/>
  <c r="P56" i="5"/>
  <c r="L56" i="5"/>
  <c r="I56" i="5"/>
  <c r="O56" i="5"/>
  <c r="K56" i="5"/>
  <c r="J56" i="5"/>
  <c r="N56" i="5"/>
  <c r="Q54" i="5"/>
  <c r="M106" i="12" s="1"/>
  <c r="M107" i="12" s="1"/>
  <c r="M54" i="5"/>
  <c r="I106" i="12" s="1"/>
  <c r="I107" i="12" s="1"/>
  <c r="O15" i="8" l="1"/>
  <c r="O39" i="8" s="1"/>
  <c r="L15" i="8"/>
  <c r="L39" i="8" s="1"/>
  <c r="J11" i="8"/>
  <c r="J15" i="8" s="1"/>
  <c r="J39" i="8" s="1"/>
  <c r="N11" i="8"/>
  <c r="N15" i="8" s="1"/>
  <c r="N39" i="8" s="1"/>
  <c r="M56" i="5"/>
  <c r="O11" i="9" l="1"/>
  <c r="O27" i="9" s="1"/>
  <c r="Q56" i="5"/>
  <c r="R56" i="5" l="1"/>
  <c r="T17" i="5"/>
  <c r="T56" i="5" s="1"/>
  <c r="T61" i="5" s="1"/>
  <c r="N11" i="9"/>
  <c r="N27" i="9" s="1"/>
  <c r="T58" i="5" l="1"/>
  <c r="F5" i="9" l="1"/>
  <c r="E9" i="11"/>
  <c r="E14" i="11" s="1"/>
  <c r="E15" i="8"/>
  <c r="E39" i="8" s="1"/>
  <c r="E25" i="9"/>
  <c r="K9" i="11"/>
  <c r="K15" i="8"/>
  <c r="K39" i="8" s="1"/>
  <c r="K25" i="9"/>
  <c r="K31" i="9" s="1"/>
  <c r="P9" i="11"/>
  <c r="P15" i="8"/>
  <c r="P39" i="8" s="1"/>
  <c r="P25" i="9"/>
  <c r="E29" i="9" l="1"/>
  <c r="F21" i="9" s="1"/>
  <c r="F29" i="9" s="1"/>
  <c r="G21" i="9" s="1"/>
  <c r="G29" i="9" s="1"/>
  <c r="H21" i="9" s="1"/>
  <c r="H29" i="9" s="1"/>
  <c r="I21" i="9" s="1"/>
  <c r="I29" i="9" s="1"/>
  <c r="J21" i="9" s="1"/>
  <c r="J29" i="9" s="1"/>
  <c r="K21" i="9" s="1"/>
  <c r="K29" i="9" s="1"/>
  <c r="L21" i="9" s="1"/>
  <c r="L29" i="9" s="1"/>
  <c r="M21" i="9" s="1"/>
  <c r="M29" i="9" s="1"/>
  <c r="N21" i="9" s="1"/>
  <c r="N29" i="9" s="1"/>
  <c r="O21" i="9" s="1"/>
  <c r="O29" i="9" s="1"/>
  <c r="P21" i="9" s="1"/>
  <c r="P29" i="9" s="1"/>
  <c r="E31" i="9"/>
  <c r="E41" i="8"/>
  <c r="E16" i="11"/>
  <c r="F5" i="11"/>
  <c r="F14" i="11" s="1"/>
  <c r="F13" i="9"/>
  <c r="G5" i="9" s="1"/>
  <c r="E43" i="8" l="1"/>
  <c r="F5" i="8"/>
  <c r="F41" i="8" s="1"/>
  <c r="G5" i="8" s="1"/>
  <c r="G41" i="8" s="1"/>
  <c r="F16" i="11"/>
  <c r="G5" i="11"/>
  <c r="G14" i="11" s="1"/>
  <c r="G13" i="9"/>
  <c r="H5" i="9" s="1"/>
  <c r="F43" i="8" l="1"/>
  <c r="G16" i="11"/>
  <c r="H5" i="11"/>
  <c r="H14" i="11" s="1"/>
  <c r="H5" i="8"/>
  <c r="H41" i="8" s="1"/>
  <c r="G43" i="8"/>
  <c r="H13" i="9"/>
  <c r="I5" i="9" s="1"/>
  <c r="I13" i="9" s="1"/>
  <c r="J5" i="9" s="1"/>
  <c r="J13" i="9" s="1"/>
  <c r="K5" i="9" s="1"/>
  <c r="K13" i="9" s="1"/>
  <c r="L5" i="9" s="1"/>
  <c r="L13" i="9" s="1"/>
  <c r="M5" i="9" s="1"/>
  <c r="M13" i="9" s="1"/>
  <c r="N5" i="9" s="1"/>
  <c r="N13" i="9" s="1"/>
  <c r="O5" i="9" s="1"/>
  <c r="O13" i="9" s="1"/>
  <c r="P5" i="9" s="1"/>
  <c r="P13" i="9" s="1"/>
  <c r="I5" i="8" l="1"/>
  <c r="I41" i="8" s="1"/>
  <c r="H43" i="8"/>
  <c r="H16" i="11"/>
  <c r="I5" i="11"/>
  <c r="I14" i="11" s="1"/>
  <c r="J5" i="8" l="1"/>
  <c r="J41" i="8" s="1"/>
  <c r="I43" i="8"/>
  <c r="I16" i="11"/>
  <c r="J5" i="11"/>
  <c r="J14" i="11" s="1"/>
  <c r="K5" i="8" l="1"/>
  <c r="K41" i="8" s="1"/>
  <c r="J43" i="8"/>
  <c r="J16" i="11"/>
  <c r="K5" i="11"/>
  <c r="K14" i="11" s="1"/>
  <c r="L5" i="8" l="1"/>
  <c r="L41" i="8" s="1"/>
  <c r="K43" i="8"/>
  <c r="K16" i="11"/>
  <c r="L5" i="11"/>
  <c r="L14" i="11" s="1"/>
  <c r="L16" i="11" s="1"/>
  <c r="M5" i="8" l="1"/>
  <c r="M41" i="8" s="1"/>
  <c r="L43" i="8"/>
  <c r="M5" i="11"/>
  <c r="M14" i="11" s="1"/>
  <c r="N5" i="8" l="1"/>
  <c r="N41" i="8" s="1"/>
  <c r="M43" i="8"/>
  <c r="M16" i="11"/>
  <c r="N5" i="11"/>
  <c r="N14" i="11" s="1"/>
  <c r="O5" i="8" l="1"/>
  <c r="O41" i="8" s="1"/>
  <c r="N43" i="8"/>
  <c r="N16" i="11"/>
  <c r="O5" i="11"/>
  <c r="O14" i="11" s="1"/>
  <c r="P5" i="8" l="1"/>
  <c r="P41" i="8" s="1"/>
  <c r="P43" i="8" s="1"/>
  <c r="O43" i="8"/>
  <c r="O16" i="11"/>
  <c r="P5" i="11"/>
  <c r="P14" i="11" s="1"/>
  <c r="P16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2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shpenzime qiraje individ</t>
        </r>
      </text>
    </comment>
    <comment ref="C3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rikonstruksion,lyerje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30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suppliers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9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TVSH ne dogane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B2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Nga fitimi pas tatimit, i realizuar gjatë vitit financiar paraardhës, duke zbritur shpenzimet, 
shoqëria duhet të kalojë në rezervën ligjore, të paktën 5 për qind të kësaj vlere, derisa kjo rezervë të jetë e barabartë me 10 për qind të kapitalit të regjistruar të shoqërisë, apo me një vlerë më të lartë, të 
përcaktuar në statut.</t>
        </r>
      </text>
    </comment>
  </commentList>
</comments>
</file>

<file path=xl/sharedStrings.xml><?xml version="1.0" encoding="utf-8"?>
<sst xmlns="http://schemas.openxmlformats.org/spreadsheetml/2006/main" count="310" uniqueCount="269">
  <si>
    <t>Te Ardhura &amp; Shpenzime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</si>
  <si>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</si>
  <si>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</si>
  <si>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</si>
  <si>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</si>
  <si>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</si>
  <si>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</si>
  <si>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</si>
  <si>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</si>
  <si>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</si>
  <si>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</si>
  <si>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Nentor</t>
  </si>
  <si>
    <t>Dhjetor</t>
  </si>
  <si>
    <t>Totali</t>
  </si>
  <si>
    <t>Te Ardhura</t>
  </si>
  <si>
    <t>Shitje e Produkteve te Veta</t>
  </si>
  <si>
    <t>Te Ardhura nga Sherbimet</t>
  </si>
  <si>
    <t>Shitje e Mallrave</t>
  </si>
  <si>
    <t>Totali I Te Ardhurave</t>
  </si>
  <si>
    <t>Zbritje</t>
  </si>
  <si>
    <t>Shpenzimet Operative</t>
  </si>
  <si>
    <t>Uje,energji elektrike,gaz</t>
  </si>
  <si>
    <t>Shpenzime Mirembajtje</t>
  </si>
  <si>
    <t>Shpenzime Komunikimi dhe Postare</t>
  </si>
  <si>
    <t>Shpenzime Transporti</t>
  </si>
  <si>
    <t>Shpenzime Udhetimi &amp; Akomodimi</t>
  </si>
  <si>
    <t>Shpenzime Sigurimi</t>
  </si>
  <si>
    <t>Shpenzime per Dhurata,Pritje e Percjellje</t>
  </si>
  <si>
    <t>Borxhi I Keq</t>
  </si>
  <si>
    <t>Totali I Shpenzimeve Operacionale</t>
  </si>
  <si>
    <t>Fitim/(Humbje)</t>
  </si>
  <si>
    <t>Kosto e Mallrave te Shitura</t>
  </si>
  <si>
    <t>Shpenzime per Blerje te Pastokueshme</t>
  </si>
  <si>
    <t>Shpenzime bankare</t>
  </si>
  <si>
    <t>Akcize</t>
  </si>
  <si>
    <t>Takse doganore</t>
  </si>
  <si>
    <t>Taksa e tarifa vendore</t>
  </si>
  <si>
    <t>Te tjera Tatime e Taksa</t>
  </si>
  <si>
    <t>Personel paga</t>
  </si>
  <si>
    <t>Personel kontribute</t>
  </si>
  <si>
    <t>Shpenzime te tjera rrjedhese</t>
  </si>
  <si>
    <t>Shpenzime Amortizimi</t>
  </si>
  <si>
    <t>tatimi mbi fitimin paraprak</t>
  </si>
  <si>
    <t>tatimi mbi fitimin diference</t>
  </si>
  <si>
    <t>%</t>
  </si>
  <si>
    <t>Shitje e Mallrave me Shumice</t>
  </si>
  <si>
    <t>Margin</t>
  </si>
  <si>
    <t>Cash Flow Statement</t>
  </si>
  <si>
    <t>For the Year Ending</t>
  </si>
  <si>
    <t>Cash at Beginning of Period</t>
  </si>
  <si>
    <t>Operations</t>
  </si>
  <si>
    <t>Cash receipts from customers</t>
  </si>
  <si>
    <t>Cash paid for</t>
  </si>
  <si>
    <t>Inventory purchases</t>
  </si>
  <si>
    <t>General operating and administrative expenses</t>
  </si>
  <si>
    <t>Wage expenses</t>
  </si>
  <si>
    <t>Interest</t>
  </si>
  <si>
    <t>Income taxes</t>
  </si>
  <si>
    <t>Net Cash Flow from Operations</t>
  </si>
  <si>
    <t>[42]</t>
  </si>
  <si>
    <t>Investing Activities</t>
  </si>
  <si>
    <t>Cash receipts from</t>
  </si>
  <si>
    <t>Sale of property and equipment</t>
  </si>
  <si>
    <t>Collection of principal on loans</t>
  </si>
  <si>
    <t>Sale of investment securities</t>
  </si>
  <si>
    <t>Purchase of property and equipment</t>
  </si>
  <si>
    <t>Making loans to other entities</t>
  </si>
  <si>
    <t>Purchase of investment securities</t>
  </si>
  <si>
    <t>Net Cash Flow from Investing Activities</t>
  </si>
  <si>
    <t>Financing Activities</t>
  </si>
  <si>
    <t>Issuance of stock</t>
  </si>
  <si>
    <t>Borrowing</t>
  </si>
  <si>
    <t>Repayment of loans</t>
  </si>
  <si>
    <t>Dividends</t>
  </si>
  <si>
    <t>Net Cash Flow from Financing Activities</t>
  </si>
  <si>
    <t>Net Increase in Cash</t>
  </si>
  <si>
    <t>Cash at End of Period</t>
  </si>
  <si>
    <t>{42}</t>
  </si>
  <si>
    <t>Inventories</t>
  </si>
  <si>
    <t>Beginning inventory</t>
  </si>
  <si>
    <t>Purchases</t>
  </si>
  <si>
    <t>Freight</t>
  </si>
  <si>
    <t>Direct labor</t>
  </si>
  <si>
    <t>Indirect expenses</t>
  </si>
  <si>
    <t>Inventories at Beginning of Period</t>
  </si>
  <si>
    <t>Inventories at End of Period</t>
  </si>
  <si>
    <t>Kosto e Mallrave te Shitura me Zbritje 50%</t>
  </si>
  <si>
    <t>Utilitete CP</t>
  </si>
  <si>
    <t>Sherbime te Tjera</t>
  </si>
  <si>
    <t>Shpenzime Marketingu CP</t>
  </si>
  <si>
    <t>VAT code</t>
  </si>
  <si>
    <t>In EUR</t>
  </si>
  <si>
    <t>In LEK</t>
  </si>
  <si>
    <t>VAT</t>
  </si>
  <si>
    <t>Other</t>
  </si>
  <si>
    <t>Sales</t>
  </si>
  <si>
    <t>VAT at Beginning of Period</t>
  </si>
  <si>
    <t>VAT at End of Period</t>
  </si>
  <si>
    <t>PERSHKRIMLLOG1</t>
  </si>
  <si>
    <t>LLOGARIPK</t>
  </si>
  <si>
    <t>PERSHKRIMPK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</si>
  <si>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</si>
  <si>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</si>
  <si>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</si>
  <si>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</si>
  <si>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</si>
  <si>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</si>
  <si>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</si>
  <si>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</si>
  <si>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</si>
  <si>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</si>
  <si>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</si>
  <si>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</si>
  <si>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Furnitore per mallra , produkte e sherbime</t>
  </si>
  <si>
    <t>Kliente per mallra , produkte e sherbime</t>
  </si>
  <si>
    <t>Paga e shperblime</t>
  </si>
  <si>
    <t>Sigurime shoqerore dhe shendetsore</t>
  </si>
  <si>
    <t>Xhirime te brendshme Konvertime</t>
  </si>
  <si>
    <t>Blerje /shpenzime te tjera</t>
  </si>
  <si>
    <t>Utilitete City Park</t>
  </si>
  <si>
    <t>Qira</t>
  </si>
  <si>
    <t>Shpenzime Interneti</t>
  </si>
  <si>
    <t>Sherbime bankare</t>
  </si>
  <si>
    <t>Pagat dhe shperblimet e personelit</t>
  </si>
  <si>
    <t>Sigurimet shoqerore dhe shendetesore</t>
  </si>
  <si>
    <t>Te ndryshme</t>
  </si>
  <si>
    <t>Zbritje ne Shitje</t>
  </si>
  <si>
    <t>Te tjera</t>
  </si>
  <si>
    <t>Shpenzime per interesa</t>
  </si>
  <si>
    <t>Zbritje ne Blerje</t>
  </si>
  <si>
    <t>Shpenzime Qiraje CP</t>
  </si>
  <si>
    <t>Pagese TVSH</t>
  </si>
  <si>
    <t>Mallra grupi I</t>
  </si>
  <si>
    <t>Tatim mbi fitimin</t>
  </si>
  <si>
    <t>TVSH Blerje</t>
  </si>
  <si>
    <t>TVSH Shitje</t>
  </si>
  <si>
    <t>TVSH ne Dogane</t>
  </si>
  <si>
    <t>Tatimi ne burim</t>
  </si>
  <si>
    <t>Te drejta dhe detyrime Skifter Picari</t>
  </si>
  <si>
    <t>BKT Picari &amp; Merja 509527638 LEK</t>
  </si>
  <si>
    <t>Tirana Bank Picari &amp; Merja LEK</t>
  </si>
  <si>
    <t>BKT Picari &amp; Merja 509527638 EUR</t>
  </si>
  <si>
    <t>Tirana Bank Picari &amp; Merja EUR</t>
  </si>
  <si>
    <t>BKT PICARI&amp;MERJA 509527638 USD</t>
  </si>
  <si>
    <t>Arka CP LEK</t>
  </si>
  <si>
    <t>Arka Bllok</t>
  </si>
  <si>
    <t>Arka qendrore</t>
  </si>
  <si>
    <t>Xhirime te brendshme Arke-Banke</t>
  </si>
  <si>
    <t>Ndrysh.gjend.mallra</t>
  </si>
  <si>
    <t>Bl.energji</t>
  </si>
  <si>
    <t>Blerje /shpenzime mallra, sherbimesh</t>
  </si>
  <si>
    <t>Agjensi doganore</t>
  </si>
  <si>
    <t>Sherbim ruajtje objekti</t>
  </si>
  <si>
    <t>Shitje mallrash</t>
  </si>
  <si>
    <t>Utilitete BLLOK</t>
  </si>
  <si>
    <t>Shpenzime Qiraje BLLOK</t>
  </si>
  <si>
    <t>Shpenzime Marketingu BLLOK</t>
  </si>
  <si>
    <t>Nentrajtime</t>
  </si>
  <si>
    <t>(Financim) / Terheqje</t>
  </si>
  <si>
    <t>Debitore te tjere ,kreditore te tjere</t>
  </si>
  <si>
    <t>Arka Autostrada neLEK</t>
  </si>
  <si>
    <t>Zhvleresime te tjera per aktivet financiare</t>
  </si>
  <si>
    <t>Transporte per blerje</t>
  </si>
  <si>
    <t>Shpenzime Qiraje ShowRoom</t>
  </si>
  <si>
    <t>Materiale te para</t>
  </si>
  <si>
    <t>Parapagime te dhena</t>
  </si>
  <si>
    <t>ALPHA BANK P &amp; M sh.p.k.LEK</t>
  </si>
  <si>
    <t>Ndrysh.gjend.mater.para</t>
  </si>
  <si>
    <t>Shpenzime kancelarie</t>
  </si>
  <si>
    <t>Xhirime te brendshme Arke-Arke</t>
  </si>
  <si>
    <t>Blerje /shpenzime te materialeve</t>
  </si>
  <si>
    <t>10-15%</t>
  </si>
  <si>
    <t>BoP</t>
  </si>
  <si>
    <t>EoP</t>
  </si>
  <si>
    <t>Suppliers</t>
  </si>
  <si>
    <t>Clients</t>
  </si>
  <si>
    <t>Tatim  mbi te ardhurat e personale</t>
  </si>
  <si>
    <t>Takse Doganore</t>
  </si>
  <si>
    <t>Taksa e skanimit</t>
  </si>
  <si>
    <t>HUA BKT (51000 euro)</t>
  </si>
  <si>
    <t xml:space="preserve">Shpenzime te llogaritura </t>
  </si>
  <si>
    <t>Intesa Sao Paolo  LEK</t>
  </si>
  <si>
    <t>CREDINS P &amp; M,ALL</t>
  </si>
  <si>
    <t>Intesa Sao Paolo EURO</t>
  </si>
  <si>
    <t>BKT Llogari kredie EUR</t>
  </si>
  <si>
    <t>Sherbime pastrimi</t>
  </si>
  <si>
    <t>Sherbime Auditim PF</t>
  </si>
  <si>
    <t>Sigurime</t>
  </si>
  <si>
    <t>Shpenzime Reklama -TV</t>
  </si>
  <si>
    <t>Tatime te tjera</t>
  </si>
  <si>
    <t>Ortake</t>
  </si>
  <si>
    <t>Institucione kreditimi</t>
  </si>
  <si>
    <t>vepra infrastrukture</t>
  </si>
  <si>
    <t>Mobilje dhe pajisje zyre</t>
  </si>
  <si>
    <t>Pajisje informative</t>
  </si>
  <si>
    <t>Mallra (dhe produkte)per shitje</t>
  </si>
  <si>
    <t>Detyrime te tjera</t>
  </si>
  <si>
    <t>Taksa e pastrimit</t>
  </si>
  <si>
    <t>Takse e perkohshme per infrastrukturen</t>
  </si>
  <si>
    <t>RBAL 0020163277 ALL</t>
  </si>
  <si>
    <t>ProCredit Bank 52230001 ALL</t>
  </si>
  <si>
    <t>CREDINS P.HOME EUR</t>
  </si>
  <si>
    <t>RBAL 0030163277 EUR</t>
  </si>
  <si>
    <t>ProCredit Bank 52230102 EUR</t>
  </si>
  <si>
    <t>Xhirime te brend. Banke-Banke</t>
  </si>
  <si>
    <t>Utilitete SUART (City Park)</t>
  </si>
  <si>
    <t>Publicitet,reklama Printime</t>
  </si>
  <si>
    <t>Transferime, udhetim, dieta</t>
  </si>
  <si>
    <t>Taksa dhe tarifa vendore</t>
  </si>
  <si>
    <t>Shpenzime per pritje dhe perfaqesime</t>
  </si>
  <si>
    <t>Gjoba dhe demshperblime</t>
  </si>
  <si>
    <t>Shpenzime  per interesa</t>
  </si>
  <si>
    <t>Humbje nga kembimet valutore</t>
  </si>
  <si>
    <t>Fitim nga kembimet valutore</t>
  </si>
  <si>
    <t>Demshperblime te tjera</t>
  </si>
  <si>
    <t>Mjete transporti</t>
  </si>
  <si>
    <t>Taksa dhe Tarifa vendore te paklasifikuara</t>
  </si>
  <si>
    <t>RBAL P&amp;M 0000 163 277 LEK</t>
  </si>
  <si>
    <t>RBAL 60163277 Euro</t>
  </si>
  <si>
    <t>RBAL 0050163277 USD</t>
  </si>
  <si>
    <t>Blerje amballazhi</t>
  </si>
  <si>
    <t>Sherbime noteriale</t>
  </si>
  <si>
    <t>Konsulence Marketing</t>
  </si>
  <si>
    <t>Sherbime te pergjithshme</t>
  </si>
  <si>
    <t>Shpenzime Telefonin-Mobile</t>
  </si>
  <si>
    <t>Shpenzime te tjera</t>
  </si>
  <si>
    <t>Te ardhura nga interesat</t>
  </si>
  <si>
    <t>nr.rn.</t>
  </si>
  <si>
    <t>subjekti</t>
  </si>
  <si>
    <t>nipt</t>
  </si>
  <si>
    <t>forma</t>
  </si>
  <si>
    <t>tatimi</t>
  </si>
  <si>
    <t>vendimi i asambese se ortakeve</t>
  </si>
  <si>
    <t>pf te skanuara</t>
  </si>
  <si>
    <t>depozitimi ne tatime</t>
  </si>
  <si>
    <t>depozitimi ne qkr</t>
  </si>
  <si>
    <t>e-albania individ</t>
  </si>
  <si>
    <t>pass</t>
  </si>
  <si>
    <t>e-albania biznes</t>
  </si>
  <si>
    <t>shenime</t>
  </si>
  <si>
    <t>tot</t>
  </si>
  <si>
    <t>rezerva ligjore</t>
  </si>
  <si>
    <t>rezerva statutore</t>
  </si>
  <si>
    <t>investime afatgjata</t>
  </si>
  <si>
    <t>divident</t>
  </si>
  <si>
    <t>kapitali themeltar</t>
  </si>
  <si>
    <t>rritje kapitali</t>
  </si>
  <si>
    <t>aam</t>
  </si>
  <si>
    <t>tatim</t>
  </si>
  <si>
    <t>shpk</t>
  </si>
  <si>
    <t>tatim fitimi</t>
  </si>
  <si>
    <t>OK</t>
  </si>
  <si>
    <t>Circle99</t>
  </si>
  <si>
    <t>PRESTIGE HOME</t>
  </si>
  <si>
    <t>L12325013U</t>
  </si>
  <si>
    <t>H55120081F</t>
  </si>
  <si>
    <t>nuk shperndajne divident</t>
  </si>
  <si>
    <t>Sherbime postare</t>
  </si>
  <si>
    <t>Per personelin</t>
  </si>
  <si>
    <t>shpenzimet</t>
  </si>
  <si>
    <t>shp P&amp;L</t>
  </si>
  <si>
    <t>ndryshimi</t>
  </si>
  <si>
    <t>te ardhurat</t>
  </si>
  <si>
    <t>te ardh P&amp;L</t>
  </si>
  <si>
    <t>28 mln</t>
  </si>
  <si>
    <t>Furnitore</t>
  </si>
  <si>
    <t>rritje e borxhit ndaj furnitoreve 43 mln</t>
  </si>
  <si>
    <t>rritje e borxhit ndaj ortakut 29 mln</t>
  </si>
  <si>
    <t>rritje e borxhit ndaj bankave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</si>
</sst>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_);\(#,##0\);\-"/>
    <numFmt numFmtId="165" formatCode="_(* #,##0_);_(* \(#,##0\);_(* &quot;-&quot;??_);_(@_)"/>
    <numFmt numFmtId="166" formatCode="[$€-2]\ #,##0_);\([$€-2]\ #,##0\)"/>
    <numFmt numFmtId="167" formatCode="[$€-2]\ #,##0_);[Red]\([$€-2]\ #,##0\)"/>
  </numFmts>
  <fonts count="2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53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color theme="1"/>
      <name val="Arial"/>
      <family val="2"/>
    </font>
    <font>
      <sz val="8"/>
      <color theme="0" tint="-0.249977111117893"/>
      <name val="Arial"/>
      <family val="2"/>
    </font>
    <font>
      <b/>
      <sz val="8"/>
      <color indexed="8"/>
      <name val="Arial"/>
      <family val="2"/>
    </font>
    <font>
      <b/>
      <sz val="8"/>
      <color theme="0" tint="-0.249977111117893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theme="0"/>
      <name val="Arial"/>
      <family val="2"/>
    </font>
    <font>
      <b/>
      <sz val="8"/>
      <color rgb="FFFF0000"/>
      <name val="Arial"/>
      <family val="2"/>
    </font>
    <font>
      <sz val="8"/>
      <color theme="3" tint="0.39997558519241921"/>
      <name val="Arial"/>
      <family val="2"/>
    </font>
    <font>
      <b/>
      <sz val="8"/>
      <color theme="3" tint="0.3999755851924192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22">
    <xf numFmtId="0" fontId="0" fillId="0" borderId="0" xfId="0"/>
    <xf numFmtId="0" fontId="3" fillId="2" borderId="0" xfId="0" applyFont="1" applyFill="1" applyAlignment="1" applyProtection="1">
      <alignment vertical="center"/>
      <protection locked="0"/>
    </xf>
    <xf numFmtId="0" fontId="4" fillId="2" borderId="0" xfId="0" applyFont="1" applyFill="1"/>
    <xf numFmtId="0" fontId="5" fillId="2" borderId="0" xfId="0" applyFont="1" applyFill="1" applyAlignment="1">
      <alignment vertical="center"/>
    </xf>
    <xf numFmtId="0" fontId="4" fillId="2" borderId="0" xfId="0" applyFont="1" applyFill="1" applyAlignment="1"/>
    <xf numFmtId="0" fontId="4" fillId="2" borderId="0" xfId="0" applyFont="1" applyFill="1" applyAlignment="1" applyProtection="1">
      <alignment horizontal="right" indent="1"/>
      <protection locked="0"/>
    </xf>
    <xf numFmtId="14" fontId="4" fillId="2" borderId="0" xfId="0" applyNumberFormat="1" applyFont="1" applyFill="1" applyAlignment="1" applyProtection="1">
      <protection locked="0"/>
    </xf>
    <xf numFmtId="41" fontId="4" fillId="2" borderId="4" xfId="4" applyNumberFormat="1" applyFont="1" applyFill="1" applyBorder="1" applyAlignment="1" applyProtection="1">
      <protection locked="0"/>
    </xf>
    <xf numFmtId="0" fontId="6" fillId="5" borderId="0" xfId="0" applyFont="1" applyFill="1" applyAlignment="1">
      <alignment horizontal="left"/>
    </xf>
    <xf numFmtId="17" fontId="6" fillId="5" borderId="0" xfId="0" applyNumberFormat="1" applyFont="1" applyFill="1" applyAlignment="1"/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0" xfId="0" applyFont="1" applyFill="1" applyAlignment="1" applyProtection="1">
      <alignment horizontal="left"/>
      <protection locked="0"/>
    </xf>
    <xf numFmtId="41" fontId="4" fillId="2" borderId="0" xfId="4" applyNumberFormat="1" applyFont="1" applyFill="1" applyBorder="1" applyAlignment="1"/>
    <xf numFmtId="0" fontId="4" fillId="2" borderId="0" xfId="0" applyFont="1" applyFill="1" applyAlignment="1" applyProtection="1">
      <protection locked="0"/>
    </xf>
    <xf numFmtId="0" fontId="4" fillId="6" borderId="0" xfId="0" applyFont="1" applyFill="1" applyAlignment="1">
      <alignment horizontal="left"/>
    </xf>
    <xf numFmtId="41" fontId="3" fillId="6" borderId="6" xfId="0" applyNumberFormat="1" applyFont="1" applyFill="1" applyBorder="1"/>
    <xf numFmtId="0" fontId="7" fillId="2" borderId="0" xfId="0" applyFont="1" applyFill="1" applyAlignment="1">
      <alignment horizontal="right"/>
    </xf>
    <xf numFmtId="0" fontId="6" fillId="5" borderId="0" xfId="0" applyFont="1" applyFill="1" applyAlignment="1"/>
    <xf numFmtId="0" fontId="4" fillId="2" borderId="0" xfId="0" applyFont="1" applyFill="1" applyProtection="1">
      <protection locked="0"/>
    </xf>
    <xf numFmtId="0" fontId="4" fillId="6" borderId="0" xfId="0" applyFont="1" applyFill="1" applyAlignment="1" applyProtection="1">
      <alignment horizontal="left"/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41" fontId="3" fillId="6" borderId="7" xfId="0" applyNumberFormat="1" applyFont="1" applyFill="1" applyBorder="1"/>
    <xf numFmtId="0" fontId="7" fillId="2" borderId="0" xfId="0" applyFont="1" applyFill="1"/>
    <xf numFmtId="0" fontId="4" fillId="2" borderId="0" xfId="0" applyFont="1" applyFill="1" applyAlignment="1">
      <alignment horizontal="right"/>
    </xf>
    <xf numFmtId="0" fontId="10" fillId="7" borderId="0" xfId="0" applyFont="1" applyFill="1"/>
    <xf numFmtId="0" fontId="10" fillId="7" borderId="0" xfId="0" applyFont="1" applyFill="1" applyBorder="1"/>
    <xf numFmtId="3" fontId="4" fillId="2" borderId="4" xfId="4" applyNumberFormat="1" applyFont="1" applyFill="1" applyBorder="1" applyAlignment="1" applyProtection="1">
      <protection locked="0"/>
    </xf>
    <xf numFmtId="3" fontId="10" fillId="7" borderId="0" xfId="0" applyNumberFormat="1" applyFont="1" applyFill="1" applyBorder="1"/>
    <xf numFmtId="3" fontId="10" fillId="7" borderId="1" xfId="0" applyNumberFormat="1" applyFont="1" applyFill="1" applyBorder="1"/>
    <xf numFmtId="3" fontId="3" fillId="6" borderId="7" xfId="0" applyNumberFormat="1" applyFont="1" applyFill="1" applyBorder="1"/>
    <xf numFmtId="165" fontId="4" fillId="2" borderId="0" xfId="2" applyNumberFormat="1" applyFont="1" applyFill="1"/>
    <xf numFmtId="165" fontId="4" fillId="2" borderId="0" xfId="0" applyNumberFormat="1" applyFont="1" applyFill="1"/>
    <xf numFmtId="0" fontId="6" fillId="5" borderId="0" xfId="0" applyFont="1" applyFill="1" applyAlignment="1">
      <alignment horizontal="left"/>
    </xf>
    <xf numFmtId="0" fontId="4" fillId="6" borderId="0" xfId="0" applyFont="1" applyFill="1" applyBorder="1" applyAlignment="1" applyProtection="1">
      <alignment horizontal="left"/>
      <protection locked="0"/>
    </xf>
    <xf numFmtId="167" fontId="10" fillId="7" borderId="0" xfId="0" applyNumberFormat="1" applyFont="1" applyFill="1" applyBorder="1"/>
    <xf numFmtId="167" fontId="10" fillId="7" borderId="1" xfId="0" applyNumberFormat="1" applyFont="1" applyFill="1" applyBorder="1"/>
    <xf numFmtId="167" fontId="3" fillId="6" borderId="7" xfId="0" applyNumberFormat="1" applyFont="1" applyFill="1" applyBorder="1"/>
    <xf numFmtId="167" fontId="4" fillId="4" borderId="4" xfId="4" applyNumberFormat="1" applyFont="1" applyFill="1" applyBorder="1" applyAlignment="1" applyProtection="1">
      <protection locked="0"/>
    </xf>
    <xf numFmtId="167" fontId="4" fillId="2" borderId="4" xfId="4" applyNumberFormat="1" applyFont="1" applyFill="1" applyBorder="1" applyAlignment="1" applyProtection="1">
      <protection locked="0"/>
    </xf>
    <xf numFmtId="38" fontId="10" fillId="7" borderId="0" xfId="0" applyNumberFormat="1" applyFont="1" applyFill="1" applyBorder="1"/>
    <xf numFmtId="167" fontId="4" fillId="2" borderId="0" xfId="0" applyNumberFormat="1" applyFont="1" applyFill="1"/>
    <xf numFmtId="41" fontId="4" fillId="9" borderId="4" xfId="4" applyNumberFormat="1" applyFont="1" applyFill="1" applyBorder="1" applyAlignment="1" applyProtection="1">
      <protection locked="0"/>
    </xf>
    <xf numFmtId="3" fontId="10" fillId="9" borderId="0" xfId="0" applyNumberFormat="1" applyFont="1" applyFill="1" applyBorder="1"/>
    <xf numFmtId="3" fontId="4" fillId="9" borderId="4" xfId="4" applyNumberFormat="1" applyFont="1" applyFill="1" applyBorder="1" applyAlignment="1" applyProtection="1">
      <protection locked="0"/>
    </xf>
    <xf numFmtId="165" fontId="12" fillId="2" borderId="0" xfId="2" applyNumberFormat="1" applyFont="1" applyFill="1"/>
    <xf numFmtId="38" fontId="4" fillId="6" borderId="0" xfId="4" applyNumberFormat="1" applyFont="1" applyFill="1" applyBorder="1" applyAlignment="1"/>
    <xf numFmtId="38" fontId="4" fillId="2" borderId="0" xfId="0" applyNumberFormat="1" applyFont="1" applyFill="1"/>
    <xf numFmtId="0" fontId="10" fillId="0" borderId="0" xfId="0" applyFont="1" applyFill="1"/>
    <xf numFmtId="3" fontId="10" fillId="0" borderId="0" xfId="0" applyNumberFormat="1" applyFont="1" applyFill="1"/>
    <xf numFmtId="3" fontId="10" fillId="8" borderId="0" xfId="0" applyNumberFormat="1" applyFont="1" applyFill="1" applyBorder="1"/>
    <xf numFmtId="3" fontId="11" fillId="10" borderId="0" xfId="2" applyNumberFormat="1" applyFont="1" applyFill="1"/>
    <xf numFmtId="3" fontId="4" fillId="2" borderId="0" xfId="0" applyNumberFormat="1" applyFont="1" applyFill="1"/>
    <xf numFmtId="3" fontId="11" fillId="10" borderId="0" xfId="0" applyNumberFormat="1" applyFont="1" applyFill="1"/>
    <xf numFmtId="3" fontId="4" fillId="2" borderId="0" xfId="2" applyNumberFormat="1" applyFont="1" applyFill="1"/>
    <xf numFmtId="38" fontId="10" fillId="8" borderId="0" xfId="0" applyNumberFormat="1" applyFont="1" applyFill="1" applyBorder="1"/>
    <xf numFmtId="0" fontId="10" fillId="8" borderId="0" xfId="0" applyFont="1" applyFill="1"/>
    <xf numFmtId="0" fontId="12" fillId="2" borderId="0" xfId="0" applyFont="1" applyFill="1"/>
    <xf numFmtId="0" fontId="13" fillId="0" borderId="0" xfId="0" applyFont="1"/>
    <xf numFmtId="0" fontId="14" fillId="0" borderId="0" xfId="0" applyFont="1"/>
    <xf numFmtId="0" fontId="14" fillId="0" borderId="0" xfId="0" applyFont="1" applyFill="1"/>
    <xf numFmtId="9" fontId="13" fillId="0" borderId="0" xfId="0" applyNumberFormat="1" applyFont="1"/>
    <xf numFmtId="0" fontId="13" fillId="0" borderId="0" xfId="0" applyFont="1" applyAlignment="1">
      <alignment wrapText="1"/>
    </xf>
    <xf numFmtId="0" fontId="13" fillId="0" borderId="0" xfId="0" applyFont="1" applyFill="1"/>
    <xf numFmtId="0" fontId="13" fillId="9" borderId="0" xfId="0" applyFont="1" applyFill="1"/>
    <xf numFmtId="3" fontId="13" fillId="0" borderId="0" xfId="0" applyNumberFormat="1" applyFont="1"/>
    <xf numFmtId="3" fontId="14" fillId="8" borderId="0" xfId="0" applyNumberFormat="1" applyFont="1" applyFill="1"/>
    <xf numFmtId="3" fontId="14" fillId="0" borderId="0" xfId="0" applyNumberFormat="1" applyFont="1" applyFill="1"/>
    <xf numFmtId="3" fontId="13" fillId="10" borderId="0" xfId="0" applyNumberFormat="1" applyFont="1" applyFill="1"/>
    <xf numFmtId="0" fontId="6" fillId="5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2" borderId="0" xfId="0" applyFont="1" applyFill="1" applyBorder="1" applyAlignment="1" applyProtection="1">
      <alignment horizontal="left"/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4" fillId="6" borderId="0" xfId="0" applyFont="1" applyFill="1" applyAlignment="1">
      <alignment horizontal="left"/>
    </xf>
    <xf numFmtId="0" fontId="4" fillId="6" borderId="0" xfId="0" applyFont="1" applyFill="1" applyAlignment="1" applyProtection="1">
      <alignment horizontal="left"/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0" fontId="11" fillId="6" borderId="0" xfId="0" applyFont="1" applyFill="1" applyBorder="1" applyAlignment="1" applyProtection="1">
      <alignment horizontal="right"/>
      <protection locked="0"/>
    </xf>
    <xf numFmtId="0" fontId="4" fillId="2" borderId="0" xfId="0" applyFont="1" applyFill="1" applyAlignment="1">
      <alignment horizontal="left"/>
    </xf>
    <xf numFmtId="0" fontId="15" fillId="2" borderId="0" xfId="0" applyFont="1" applyFill="1"/>
    <xf numFmtId="3" fontId="16" fillId="2" borderId="0" xfId="0" applyNumberFormat="1" applyFont="1" applyFill="1"/>
    <xf numFmtId="0" fontId="17" fillId="2" borderId="0" xfId="0" applyFont="1" applyFill="1"/>
    <xf numFmtId="0" fontId="18" fillId="2" borderId="0" xfId="0" applyFont="1" applyFill="1"/>
    <xf numFmtId="0" fontId="19" fillId="2" borderId="0" xfId="0" applyFont="1" applyFill="1" applyBorder="1"/>
    <xf numFmtId="1" fontId="19" fillId="2" borderId="1" xfId="0" applyNumberFormat="1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Font="1" applyFill="1"/>
    <xf numFmtId="0" fontId="19" fillId="2" borderId="2" xfId="0" applyFont="1" applyFill="1" applyBorder="1"/>
    <xf numFmtId="17" fontId="19" fillId="2" borderId="2" xfId="0" applyNumberFormat="1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/>
    </xf>
    <xf numFmtId="164" fontId="15" fillId="9" borderId="0" xfId="0" applyNumberFormat="1" applyFont="1" applyFill="1"/>
    <xf numFmtId="164" fontId="15" fillId="8" borderId="0" xfId="0" applyNumberFormat="1" applyFont="1" applyFill="1"/>
    <xf numFmtId="164" fontId="17" fillId="2" borderId="0" xfId="0" applyNumberFormat="1" applyFont="1" applyFill="1"/>
    <xf numFmtId="0" fontId="21" fillId="2" borderId="0" xfId="0" applyFont="1" applyFill="1"/>
    <xf numFmtId="164" fontId="22" fillId="2" borderId="0" xfId="0" applyNumberFormat="1" applyFont="1" applyFill="1"/>
    <xf numFmtId="164" fontId="21" fillId="9" borderId="0" xfId="0" applyNumberFormat="1" applyFont="1" applyFill="1"/>
    <xf numFmtId="164" fontId="16" fillId="8" borderId="0" xfId="0" applyNumberFormat="1" applyFont="1" applyFill="1"/>
    <xf numFmtId="164" fontId="21" fillId="8" borderId="0" xfId="0" applyNumberFormat="1" applyFont="1" applyFill="1"/>
    <xf numFmtId="0" fontId="15" fillId="2" borderId="1" xfId="0" applyFont="1" applyFill="1" applyBorder="1"/>
    <xf numFmtId="9" fontId="15" fillId="2" borderId="1" xfId="3" applyFont="1" applyFill="1" applyBorder="1"/>
    <xf numFmtId="164" fontId="15" fillId="2" borderId="1" xfId="0" applyNumberFormat="1" applyFont="1" applyFill="1" applyBorder="1"/>
    <xf numFmtId="164" fontId="19" fillId="2" borderId="1" xfId="0" applyNumberFormat="1" applyFont="1" applyFill="1" applyBorder="1"/>
    <xf numFmtId="164" fontId="19" fillId="2" borderId="0" xfId="0" applyNumberFormat="1" applyFont="1" applyFill="1"/>
    <xf numFmtId="166" fontId="19" fillId="2" borderId="0" xfId="0" applyNumberFormat="1" applyFont="1" applyFill="1"/>
    <xf numFmtId="164" fontId="15" fillId="2" borderId="0" xfId="0" applyNumberFormat="1" applyFont="1" applyFill="1"/>
    <xf numFmtId="164" fontId="23" fillId="2" borderId="0" xfId="0" applyNumberFormat="1" applyFont="1" applyFill="1"/>
    <xf numFmtId="9" fontId="15" fillId="2" borderId="0" xfId="3" applyFont="1" applyFill="1"/>
    <xf numFmtId="9" fontId="15" fillId="2" borderId="0" xfId="0" applyNumberFormat="1" applyFont="1" applyFill="1"/>
    <xf numFmtId="164" fontId="21" fillId="2" borderId="0" xfId="0" applyNumberFormat="1" applyFont="1" applyFill="1"/>
    <xf numFmtId="164" fontId="16" fillId="9" borderId="0" xfId="0" applyNumberFormat="1" applyFont="1" applyFill="1"/>
    <xf numFmtId="43" fontId="15" fillId="2" borderId="0" xfId="2" applyFont="1" applyFill="1"/>
    <xf numFmtId="0" fontId="22" fillId="2" borderId="0" xfId="0" applyFont="1" applyFill="1"/>
    <xf numFmtId="0" fontId="23" fillId="2" borderId="0" xfId="0" applyFont="1" applyFill="1"/>
    <xf numFmtId="0" fontId="19" fillId="2" borderId="3" xfId="0" applyFont="1" applyFill="1" applyBorder="1"/>
    <xf numFmtId="164" fontId="19" fillId="2" borderId="3" xfId="0" applyNumberFormat="1" applyFont="1" applyFill="1" applyBorder="1"/>
    <xf numFmtId="0" fontId="24" fillId="3" borderId="0" xfId="0" applyFont="1" applyFill="1"/>
    <xf numFmtId="164" fontId="24" fillId="3" borderId="0" xfId="0" applyNumberFormat="1" applyFont="1" applyFill="1"/>
    <xf numFmtId="9" fontId="24" fillId="3" borderId="0" xfId="3" applyFont="1" applyFill="1"/>
    <xf numFmtId="0" fontId="16" fillId="2" borderId="0" xfId="0" applyFont="1" applyFill="1"/>
    <xf numFmtId="165" fontId="25" fillId="2" borderId="0" xfId="2" applyNumberFormat="1" applyFont="1" applyFill="1"/>
    <xf numFmtId="0" fontId="26" fillId="2" borderId="0" xfId="0" applyFont="1" applyFill="1"/>
    <xf numFmtId="165" fontId="27" fillId="2" borderId="0" xfId="2" applyNumberFormat="1" applyFont="1" applyFill="1"/>
    <xf numFmtId="0" fontId="25" fillId="2" borderId="0" xfId="0" applyFont="1" applyFill="1"/>
    <xf numFmtId="164" fontId="16" fillId="2" borderId="0" xfId="0" applyNumberFormat="1" applyFont="1" applyFill="1"/>
  </cellXfs>
  <cellStyles count="5">
    <cellStyle name="Comma" xfId="2" builtinId="3"/>
    <cellStyle name="Currency" xfId="4" builtinId="4"/>
    <cellStyle name="Normal" xfId="0" builtinId="0"/>
    <cellStyle name="Normal 9" xfId="1" xr:uid="{00000000-0005-0000-0000-000003000000}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249977111117893"/>
  </sheetPr>
  <dimension ref="A1:W69"/>
  <sheetViews>
    <sheetView tabSelected="1" zoomScaleNormal="100" workbookViewId="0">
      <selection activeCell="J4" sqref="J4"/>
    </sheetView>
  </sheetViews>
  <sheetFormatPr defaultRowHeight="11.25" x14ac:dyDescent="0.2"/>
  <cols>
    <col min="1" max="3" width="1.7109375" style="77" customWidth="1"/>
    <col min="4" max="6" width="9.140625" style="77"/>
    <col min="7" max="7" width="1.7109375" style="77" customWidth="1"/>
    <col min="8" max="19" width="10.7109375" style="77" customWidth="1"/>
    <col min="20" max="20" width="10.7109375" style="79" customWidth="1"/>
    <col min="21" max="21" width="9.7109375" style="77" bestFit="1" customWidth="1"/>
    <col min="22" max="22" width="9.140625" style="80" customWidth="1"/>
    <col min="23" max="16384" width="9.140625" style="77"/>
  </cols>
  <sheetData>
    <row r="1" spans="1:22" x14ac:dyDescent="0.2">
      <c r="Q1" s="78"/>
      <c r="R1" s="78"/>
      <c r="S1" s="78"/>
    </row>
    <row r="2" spans="1:22" s="83" customFormat="1" x14ac:dyDescent="0.2">
      <c r="A2" s="81"/>
      <c r="B2" s="81" t="s">
        <v>0</v>
      </c>
      <c r="C2" s="81"/>
      <c r="D2" s="81"/>
      <c r="E2" s="81"/>
      <c r="F2" s="81"/>
      <c r="G2" s="81"/>
      <c r="H2" s="82">
        <v>2017</v>
      </c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V2" s="84" t="s">
        <v>90</v>
      </c>
    </row>
    <row r="3" spans="1:22" s="83" customFormat="1" ht="12" thickBot="1" x14ac:dyDescent="0.25">
      <c r="A3" s="85"/>
      <c r="B3" s="85"/>
      <c r="C3" s="85"/>
      <c r="D3" s="85"/>
      <c r="E3" s="85"/>
      <c r="F3" s="85"/>
      <c r="G3" s="85"/>
      <c r="H3" s="86" t="s">
        <v>1</v>
      </c>
      <c r="I3" s="86" t="s">
        <v>2</v>
      </c>
      <c r="J3" s="86" t="s">
        <v>3</v>
      </c>
      <c r="K3" s="86" t="s">
        <v>4</v>
      </c>
      <c r="L3" s="86" t="s">
        <v>5</v>
      </c>
      <c r="M3" s="86" t="s">
        <v>6</v>
      </c>
      <c r="N3" s="87" t="s">
        <v>7</v>
      </c>
      <c r="O3" s="87" t="s">
        <v>8</v>
      </c>
      <c r="P3" s="87" t="s">
        <v>9</v>
      </c>
      <c r="Q3" s="87" t="s">
        <v>10</v>
      </c>
      <c r="R3" s="87" t="s">
        <v>11</v>
      </c>
      <c r="S3" s="87" t="s">
        <v>12</v>
      </c>
      <c r="T3" s="87" t="s">
        <v>13</v>
      </c>
      <c r="V3" s="84"/>
    </row>
    <row r="5" spans="1:22" x14ac:dyDescent="0.2">
      <c r="B5" s="79" t="s">
        <v>14</v>
      </c>
    </row>
    <row r="6" spans="1:22" x14ac:dyDescent="0.2">
      <c r="C6" s="77" t="s">
        <v>15</v>
      </c>
      <c r="H6" s="88"/>
      <c r="I6" s="88"/>
      <c r="J6" s="88"/>
      <c r="K6" s="88"/>
      <c r="L6" s="88"/>
      <c r="M6" s="88"/>
      <c r="N6" s="88"/>
      <c r="O6" s="88"/>
      <c r="P6" s="88"/>
      <c r="Q6" s="89"/>
      <c r="R6" s="89"/>
      <c r="S6" s="89"/>
      <c r="T6" s="90">
        <f>SUM(H6:S6)</f>
        <v>0</v>
      </c>
      <c r="V6" s="80">
        <v>2</v>
      </c>
    </row>
    <row r="7" spans="1:22" x14ac:dyDescent="0.2">
      <c r="C7" s="77" t="s">
        <v>16</v>
      </c>
      <c r="H7" s="88">
        <f>-SUMIFS(lv!D:D,lv!$B:$B,"704")</f>
        <v>0</v>
      </c>
      <c r="I7" s="88">
        <f>-SUMIFS(lv!E:E,lv!$B:$B,"704")</f>
        <v>0</v>
      </c>
      <c r="J7" s="88">
        <f>-SUMIFS(lv!F:F,lv!$B:$B,"704")</f>
        <v>0</v>
      </c>
      <c r="K7" s="88">
        <f>-SUMIFS(lv!G:G,lv!$B:$B,"704")</f>
        <v>0</v>
      </c>
      <c r="L7" s="88">
        <f>-SUMIFS(lv!H:H,lv!$B:$B,"704")</f>
        <v>0</v>
      </c>
      <c r="M7" s="88">
        <f>-SUMIFS(lv!I:I,lv!$B:$B,"704")</f>
        <v>0</v>
      </c>
      <c r="N7" s="88">
        <f>-SUMIFS(lv!J:J,lv!$B:$B,"704")</f>
        <v>0</v>
      </c>
      <c r="O7" s="88">
        <f>-SUMIFS(lv!K:K,lv!$B:$B,"704")</f>
        <v>0</v>
      </c>
      <c r="P7" s="88">
        <f>-SUMIFS(lv!L:L,lv!$B:$B,"704")</f>
        <v>0</v>
      </c>
      <c r="Q7" s="89">
        <f>-SUMIFS(lv!M:M,lv!$B:$B,"704")</f>
        <v>0</v>
      </c>
      <c r="R7" s="89">
        <f>-SUMIFS(lv!N:N,lv!$B:$B,"704")</f>
        <v>0</v>
      </c>
      <c r="S7" s="89">
        <f>-SUMIFS(lv!O:O,lv!$B:$B,"704")</f>
        <v>0</v>
      </c>
      <c r="T7" s="90">
        <f t="shared" ref="T7:T12" si="0">SUM(H7:S7)</f>
        <v>0</v>
      </c>
      <c r="V7" s="80">
        <v>2</v>
      </c>
    </row>
    <row r="8" spans="1:22" s="91" customFormat="1" x14ac:dyDescent="0.2">
      <c r="C8" s="91" t="s">
        <v>17</v>
      </c>
      <c r="H8" s="88">
        <f>-SUMIFS(lv!D:D,lv!$B:$B,"705")</f>
        <v>3955277.773</v>
      </c>
      <c r="I8" s="88">
        <f>-SUMIFS(lv!E:E,lv!$B:$B,"705")</f>
        <v>1821942.81</v>
      </c>
      <c r="J8" s="88">
        <f>-SUMIFS(lv!F:F,lv!$B:$B,"705")</f>
        <v>3701119.55</v>
      </c>
      <c r="K8" s="88">
        <f>-SUMIFS(lv!G:G,lv!$B:$B,"705")</f>
        <v>1850923.92</v>
      </c>
      <c r="L8" s="88">
        <f>-SUMIFS(lv!H:H,lv!$B:$B,"705")</f>
        <v>3579972.2519999999</v>
      </c>
      <c r="M8" s="88">
        <f>-SUMIFS(lv!I:I,lv!$B:$B,"705")</f>
        <v>15161474.43</v>
      </c>
      <c r="N8" s="88">
        <f>-SUMIFS(lv!J:J,lv!$B:$B,"705")</f>
        <v>5127371.4469999997</v>
      </c>
      <c r="O8" s="88">
        <f>-SUMIFS(lv!K:K,lv!$B:$B,"705")</f>
        <v>15267633</v>
      </c>
      <c r="P8" s="88">
        <f>-SUMIFS(lv!L:L,lv!$B:$B,"705")</f>
        <v>10747600.33</v>
      </c>
      <c r="Q8" s="89">
        <v>20000000</v>
      </c>
      <c r="R8" s="89">
        <v>20000000</v>
      </c>
      <c r="S8" s="89">
        <v>20000000</v>
      </c>
      <c r="T8" s="92">
        <f t="shared" si="0"/>
        <v>121213315.51199999</v>
      </c>
      <c r="V8" s="80">
        <v>2</v>
      </c>
    </row>
    <row r="9" spans="1:22" x14ac:dyDescent="0.2">
      <c r="C9" s="77" t="s">
        <v>45</v>
      </c>
      <c r="H9" s="93"/>
      <c r="I9" s="93"/>
      <c r="J9" s="93"/>
      <c r="K9" s="93"/>
      <c r="L9" s="93"/>
      <c r="M9" s="93"/>
      <c r="N9" s="93"/>
      <c r="O9" s="93"/>
      <c r="P9" s="93"/>
      <c r="Q9" s="94"/>
      <c r="R9" s="94">
        <v>10000000</v>
      </c>
      <c r="S9" s="94">
        <v>20000000</v>
      </c>
      <c r="T9" s="90">
        <f t="shared" si="0"/>
        <v>30000000</v>
      </c>
      <c r="V9" s="80">
        <v>2</v>
      </c>
    </row>
    <row r="10" spans="1:22" x14ac:dyDescent="0.2">
      <c r="C10" s="77" t="s">
        <v>127</v>
      </c>
      <c r="H10" s="93">
        <f>-SUMIFS(lv!D:D,lv!$B:$B,"758")-SUMIFS(lv!D:D,lv!$B:$B,"767")-SUMIFS(lv!D:D,lv!$B:$B,"769")-SUMIFS(lv!D:D,lv!$B:$B,"772")</f>
        <v>25804.91</v>
      </c>
      <c r="I10" s="93">
        <f>-SUMIFS(lv!E:E,lv!$B:$B,"758")-SUMIFS(lv!E:E,lv!$B:$B,"767")-SUMIFS(lv!E:E,lv!$B:$B,"769")-SUMIFS(lv!E:E,lv!$B:$B,"772")</f>
        <v>2818161.9</v>
      </c>
      <c r="J10" s="93">
        <f>-SUMIFS(lv!F:F,lv!$B:$B,"758")-SUMIFS(lv!F:F,lv!$B:$B,"767")-SUMIFS(lv!F:F,lv!$B:$B,"769")-SUMIFS(lv!F:F,lv!$B:$B,"772")</f>
        <v>1705.75</v>
      </c>
      <c r="K10" s="93">
        <f>-SUMIFS(lv!G:G,lv!$B:$B,"758")-SUMIFS(lv!G:G,lv!$B:$B,"767")-SUMIFS(lv!G:G,lv!$B:$B,"769")-SUMIFS(lv!G:G,lv!$B:$B,"772")</f>
        <v>788</v>
      </c>
      <c r="L10" s="93">
        <f>-SUMIFS(lv!H:H,lv!$B:$B,"758")-SUMIFS(lv!H:H,lv!$B:$B,"767")-SUMIFS(lv!H:H,lv!$B:$B,"769")-SUMIFS(lv!H:H,lv!$B:$B,"772")</f>
        <v>29022.09</v>
      </c>
      <c r="M10" s="93">
        <f>-SUMIFS(lv!I:I,lv!$B:$B,"758")-SUMIFS(lv!I:I,lv!$B:$B,"767")-SUMIFS(lv!I:I,lv!$B:$B,"769")-SUMIFS(lv!I:I,lv!$B:$B,"772")</f>
        <v>54848.25</v>
      </c>
      <c r="N10" s="93">
        <f>-SUMIFS(lv!J:J,lv!$B:$B,"758")-SUMIFS(lv!J:J,lv!$B:$B,"767")-SUMIFS(lv!J:J,lv!$B:$B,"769")-SUMIFS(lv!J:J,lv!$B:$B,"772")</f>
        <v>20827.62</v>
      </c>
      <c r="O10" s="93">
        <f>-SUMIFS(lv!K:K,lv!$B:$B,"758")-SUMIFS(lv!K:K,lv!$B:$B,"767")-SUMIFS(lv!K:K,lv!$B:$B,"769")-SUMIFS(lv!K:K,lv!$B:$B,"772")</f>
        <v>10971.56</v>
      </c>
      <c r="P10" s="93">
        <f>-SUMIFS(lv!L:L,lv!$B:$B,"758")-SUMIFS(lv!L:L,lv!$B:$B,"767")-SUMIFS(lv!L:L,lv!$B:$B,"769")-SUMIFS(lv!L:L,lv!$B:$B,"772")</f>
        <v>1.2</v>
      </c>
      <c r="Q10" s="95">
        <f>-SUMIFS(lv!M:M,lv!$B:$B,"758")-SUMIFS(lv!M:M,lv!$B:$B,"767")-SUMIFS(lv!M:M,lv!$B:$B,"769")</f>
        <v>0</v>
      </c>
      <c r="R10" s="95">
        <f>-SUMIFS(lv!N:N,lv!$B:$B,"758")-SUMIFS(lv!N:N,lv!$B:$B,"767")-SUMIFS(lv!N:N,lv!$B:$B,"769")</f>
        <v>0</v>
      </c>
      <c r="S10" s="95">
        <f>-SUMIFS(lv!O:O,lv!$B:$B,"758")-SUMIFS(lv!O:O,lv!$B:$B,"767")-SUMIFS(lv!O:O,lv!$B:$B,"769")</f>
        <v>0</v>
      </c>
      <c r="T10" s="90">
        <f t="shared" si="0"/>
        <v>2962131.2800000003</v>
      </c>
    </row>
    <row r="11" spans="1:22" x14ac:dyDescent="0.2">
      <c r="C11" s="77" t="s">
        <v>129</v>
      </c>
      <c r="H11" s="93">
        <f>-SUMIFS(lv!D:D,lv!$B:$B,"791")</f>
        <v>0</v>
      </c>
      <c r="I11" s="93">
        <f>-SUMIFS(lv!E:E,lv!$B:$B,"791")</f>
        <v>0</v>
      </c>
      <c r="J11" s="93">
        <f>-SUMIFS(lv!F:F,lv!$B:$B,"791")</f>
        <v>0</v>
      </c>
      <c r="K11" s="93">
        <f>-SUMIFS(lv!G:G,lv!$B:$B,"791")</f>
        <v>0</v>
      </c>
      <c r="L11" s="93">
        <f>-SUMIFS(lv!H:H,lv!$B:$B,"791")</f>
        <v>0</v>
      </c>
      <c r="M11" s="93">
        <f>-SUMIFS(lv!I:I,lv!$B:$B,"791")</f>
        <v>0</v>
      </c>
      <c r="N11" s="93">
        <f>-SUMIFS(lv!J:J,lv!$B:$B,"791")</f>
        <v>0</v>
      </c>
      <c r="O11" s="93">
        <f>-SUMIFS(lv!K:K,lv!$B:$B,"791")</f>
        <v>0</v>
      </c>
      <c r="P11" s="93">
        <f>-SUMIFS(lv!L:L,lv!$B:$B,"791")</f>
        <v>176445.78</v>
      </c>
      <c r="Q11" s="95">
        <f>-SUMIFS(lv!M:M,lv!$B:$B,"791")</f>
        <v>0</v>
      </c>
      <c r="R11" s="95">
        <f>-SUMIFS(lv!N:N,lv!$B:$B,"791")</f>
        <v>0</v>
      </c>
      <c r="S11" s="95">
        <f>-SUMIFS(lv!O:O,lv!$B:$B,"791")</f>
        <v>0</v>
      </c>
      <c r="T11" s="90">
        <f t="shared" si="0"/>
        <v>176445.78</v>
      </c>
    </row>
    <row r="12" spans="1:22" x14ac:dyDescent="0.2">
      <c r="C12" s="77" t="s">
        <v>126</v>
      </c>
      <c r="H12" s="93">
        <f>-SUMIFS(lv!D:D,lv!$B:$B,"792")</f>
        <v>-223172.33</v>
      </c>
      <c r="I12" s="93">
        <f>-SUMIFS(lv!E:E,lv!$B:$B,"792")</f>
        <v>-173376.42</v>
      </c>
      <c r="J12" s="93">
        <f>-SUMIFS(lv!F:F,lv!$B:$B,"792")</f>
        <v>-458705.28</v>
      </c>
      <c r="K12" s="93">
        <f>-SUMIFS(lv!G:G,lv!$B:$B,"792")</f>
        <v>-142389.23000000001</v>
      </c>
      <c r="L12" s="93">
        <f>-SUMIFS(lv!H:H,lv!$B:$B,"792")</f>
        <v>-557050.1</v>
      </c>
      <c r="M12" s="93">
        <f>-SUMIFS(lv!I:I,lv!$B:$B,"792")</f>
        <v>-36164.400000000001</v>
      </c>
      <c r="N12" s="93">
        <f>-SUMIFS(lv!J:J,lv!$B:$B,"792")</f>
        <v>-340988.04119999998</v>
      </c>
      <c r="O12" s="93">
        <f>-SUMIFS(lv!K:K,lv!$B:$B,"792")</f>
        <v>-632348.93000000005</v>
      </c>
      <c r="P12" s="93">
        <f>-SUMIFS(lv!L:L,lv!$B:$B,"792")</f>
        <v>-598266.67000000004</v>
      </c>
      <c r="Q12" s="95">
        <f t="shared" ref="Q12:S12" si="1">-Q8*25%</f>
        <v>-5000000</v>
      </c>
      <c r="R12" s="95">
        <f t="shared" si="1"/>
        <v>-5000000</v>
      </c>
      <c r="S12" s="95">
        <f t="shared" si="1"/>
        <v>-5000000</v>
      </c>
      <c r="T12" s="90">
        <f t="shared" si="0"/>
        <v>-18162461.4012</v>
      </c>
      <c r="V12" s="80">
        <v>2</v>
      </c>
    </row>
    <row r="13" spans="1:22" x14ac:dyDescent="0.2">
      <c r="B13" s="96"/>
      <c r="C13" s="96"/>
      <c r="D13" s="96"/>
      <c r="E13" s="96"/>
      <c r="F13" s="96"/>
      <c r="G13" s="96"/>
      <c r="H13" s="97"/>
      <c r="I13" s="97"/>
      <c r="J13" s="97"/>
      <c r="K13" s="97"/>
      <c r="L13" s="98"/>
      <c r="M13" s="98"/>
      <c r="N13" s="98"/>
      <c r="O13" s="98"/>
      <c r="P13" s="98"/>
      <c r="Q13" s="98"/>
      <c r="R13" s="98"/>
      <c r="S13" s="98"/>
      <c r="T13" s="99">
        <f>+SUM(H13:S13)</f>
        <v>0</v>
      </c>
    </row>
    <row r="14" spans="1:22" s="83" customFormat="1" x14ac:dyDescent="0.2">
      <c r="B14" s="83" t="s">
        <v>18</v>
      </c>
      <c r="H14" s="100">
        <f>SUM(H6:H13)</f>
        <v>3757910.3530000001</v>
      </c>
      <c r="I14" s="100">
        <f t="shared" ref="I14:N14" si="2">SUM(I6:I13)</f>
        <v>4466728.29</v>
      </c>
      <c r="J14" s="100">
        <f t="shared" si="2"/>
        <v>3244120.0199999996</v>
      </c>
      <c r="K14" s="100">
        <f t="shared" si="2"/>
        <v>1709322.69</v>
      </c>
      <c r="L14" s="100">
        <f t="shared" si="2"/>
        <v>3051944.2419999996</v>
      </c>
      <c r="M14" s="100">
        <f t="shared" si="2"/>
        <v>15180158.279999999</v>
      </c>
      <c r="N14" s="100">
        <f t="shared" si="2"/>
        <v>4807211.0257999999</v>
      </c>
      <c r="O14" s="100">
        <f t="shared" ref="O14:S14" si="3">SUM(O6:O13)</f>
        <v>14646255.630000001</v>
      </c>
      <c r="P14" s="100">
        <f t="shared" si="3"/>
        <v>10325780.639999999</v>
      </c>
      <c r="Q14" s="100">
        <f t="shared" si="3"/>
        <v>15000000</v>
      </c>
      <c r="R14" s="100">
        <f t="shared" si="3"/>
        <v>25000000</v>
      </c>
      <c r="S14" s="100">
        <f t="shared" si="3"/>
        <v>35000000</v>
      </c>
      <c r="T14" s="100">
        <f>SUM(T6:T13)</f>
        <v>136189431.1708</v>
      </c>
      <c r="U14" s="101"/>
      <c r="V14" s="84"/>
    </row>
    <row r="15" spans="1:22" x14ac:dyDescent="0.2">
      <c r="T15" s="83"/>
    </row>
    <row r="16" spans="1:22" x14ac:dyDescent="0.2">
      <c r="A16" s="102"/>
      <c r="C16" s="103" t="s">
        <v>19</v>
      </c>
      <c r="D16" s="102"/>
      <c r="E16" s="102"/>
      <c r="F16" s="102"/>
      <c r="G16" s="104" t="s">
        <v>44</v>
      </c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90"/>
    </row>
    <row r="17" spans="1:23" s="91" customFormat="1" x14ac:dyDescent="0.2">
      <c r="A17" s="106"/>
      <c r="C17" s="106" t="s">
        <v>31</v>
      </c>
      <c r="D17" s="106"/>
      <c r="E17" s="106"/>
      <c r="F17" s="106"/>
      <c r="G17" s="106"/>
      <c r="H17" s="107">
        <f>-SUMIFS(lv!D:D,lv!$B:$B,"601")-SUMIFS(lv!D:D,lv!$B:$B,"6031")-SUMIFS(lv!D:D,lv!$B:$B,"6035")-SUMIFS(lv!D:D,lv!$B:$B,"605")</f>
        <v>-2087840.0424000006</v>
      </c>
      <c r="I17" s="107">
        <f>-SUMIFS(lv!E:E,lv!$B:$B,"601")-SUMIFS(lv!E:E,lv!$B:$B,"6031")-SUMIFS(lv!E:E,lv!$B:$B,"6035")-SUMIFS(lv!E:E,lv!$B:$B,"605")</f>
        <v>-848514.8599999994</v>
      </c>
      <c r="J17" s="107">
        <f>-SUMIFS(lv!F:F,lv!$B:$B,"601")-SUMIFS(lv!F:F,lv!$B:$B,"6031")-SUMIFS(lv!F:F,lv!$B:$B,"6035")-SUMIFS(lv!F:F,lv!$B:$B,"605")</f>
        <v>-1049573.0640000002</v>
      </c>
      <c r="K17" s="107">
        <f>-SUMIFS(lv!G:G,lv!$B:$B,"601")-SUMIFS(lv!G:G,lv!$B:$B,"6031")-SUMIFS(lv!G:G,lv!$B:$B,"6035")-SUMIFS(lv!G:G,lv!$B:$B,"605")</f>
        <v>-150692.58999999985</v>
      </c>
      <c r="L17" s="107">
        <f>-SUMIFS(lv!H:H,lv!$B:$B,"601")-SUMIFS(lv!H:H,lv!$B:$B,"6031")-SUMIFS(lv!H:H,lv!$B:$B,"6035")-SUMIFS(lv!H:H,lv!$B:$B,"605")</f>
        <v>-1215753.3889999995</v>
      </c>
      <c r="M17" s="107">
        <f>-SUMIFS(lv!I:I,lv!$B:$B,"601")-SUMIFS(lv!I:I,lv!$B:$B,"6031")-SUMIFS(lv!I:I,lv!$B:$B,"6035")-SUMIFS(lv!I:I,lv!$B:$B,"605")</f>
        <v>-10206707.903000001</v>
      </c>
      <c r="N17" s="107">
        <f>-SUMIFS(lv!J:J,lv!$B:$B,"601")-SUMIFS(lv!J:J,lv!$B:$B,"6031")-SUMIFS(lv!J:J,lv!$B:$B,"6035")-SUMIFS(lv!J:J,lv!$B:$B,"605")</f>
        <v>-2099952.4929999998</v>
      </c>
      <c r="O17" s="107">
        <f>-SUMIFS(lv!K:K,lv!$B:$B,"601")-SUMIFS(lv!K:K,lv!$B:$B,"6031")-SUMIFS(lv!K:K,lv!$B:$B,"6035")-SUMIFS(lv!K:K,lv!$B:$B,"605")</f>
        <v>-10607020.333000001</v>
      </c>
      <c r="P17" s="107">
        <f>-SUMIFS(lv!L:L,lv!$B:$B,"601")-SUMIFS(lv!L:L,lv!$B:$B,"6031")-SUMIFS(lv!L:L,lv!$B:$B,"6035")-SUMIFS(lv!L:L,lv!$B:$B,"605")</f>
        <v>-5542756.9470000006</v>
      </c>
      <c r="Q17" s="94">
        <f t="shared" ref="Q17:S17" si="4">+Q8*Q18</f>
        <v>-6600000</v>
      </c>
      <c r="R17" s="94">
        <f t="shared" si="4"/>
        <v>-6600000</v>
      </c>
      <c r="S17" s="94">
        <f t="shared" si="4"/>
        <v>-6600000</v>
      </c>
      <c r="T17" s="92">
        <f t="shared" ref="T17:T19" si="5">SUM(H17:S17)</f>
        <v>-53608811.621399999</v>
      </c>
      <c r="V17" s="80"/>
    </row>
    <row r="18" spans="1:23" x14ac:dyDescent="0.2">
      <c r="A18" s="102"/>
      <c r="C18" s="103"/>
      <c r="D18" s="102" t="s">
        <v>46</v>
      </c>
      <c r="E18" s="102"/>
      <c r="F18" s="102"/>
      <c r="G18" s="102"/>
      <c r="H18" s="105">
        <f>+H17/H8</f>
        <v>-0.52786179940439815</v>
      </c>
      <c r="I18" s="105">
        <f t="shared" ref="I18:M18" si="6">+I17/I8</f>
        <v>-0.46571981038197319</v>
      </c>
      <c r="J18" s="105">
        <f t="shared" si="6"/>
        <v>-0.28358258894933569</v>
      </c>
      <c r="K18" s="105">
        <f>+K17/K8</f>
        <v>-8.1414794185597786E-2</v>
      </c>
      <c r="L18" s="105">
        <f t="shared" si="6"/>
        <v>-0.33959855088843283</v>
      </c>
      <c r="M18" s="105">
        <f t="shared" si="6"/>
        <v>-0.67320021875999037</v>
      </c>
      <c r="N18" s="105">
        <f t="shared" ref="N18:P18" si="7">+N17/N8</f>
        <v>-0.40955731698133002</v>
      </c>
      <c r="O18" s="105">
        <f t="shared" si="7"/>
        <v>-0.69473901638846047</v>
      </c>
      <c r="P18" s="105">
        <f t="shared" si="7"/>
        <v>-0.51572041914588018</v>
      </c>
      <c r="Q18" s="105">
        <v>-0.33</v>
      </c>
      <c r="R18" s="105">
        <v>-0.33</v>
      </c>
      <c r="S18" s="105">
        <v>-0.33</v>
      </c>
      <c r="T18" s="90"/>
    </row>
    <row r="19" spans="1:23" x14ac:dyDescent="0.2">
      <c r="A19" s="102"/>
      <c r="C19" s="103" t="s">
        <v>86</v>
      </c>
      <c r="D19" s="102"/>
      <c r="E19" s="102"/>
      <c r="F19" s="102"/>
      <c r="G19" s="102"/>
      <c r="H19" s="107">
        <f>+H9*H20</f>
        <v>0</v>
      </c>
      <c r="I19" s="107">
        <f t="shared" ref="I19" si="8">+I9*I20</f>
        <v>0</v>
      </c>
      <c r="J19" s="107">
        <f>+J9*J20</f>
        <v>0</v>
      </c>
      <c r="K19" s="107">
        <f t="shared" ref="K19:S19" si="9">+K9*K20</f>
        <v>0</v>
      </c>
      <c r="L19" s="107">
        <f t="shared" si="9"/>
        <v>0</v>
      </c>
      <c r="M19" s="107">
        <f t="shared" si="9"/>
        <v>0</v>
      </c>
      <c r="N19" s="107">
        <f t="shared" si="9"/>
        <v>0</v>
      </c>
      <c r="O19" s="107">
        <f t="shared" si="9"/>
        <v>0</v>
      </c>
      <c r="P19" s="107">
        <f t="shared" si="9"/>
        <v>0</v>
      </c>
      <c r="Q19" s="94">
        <f t="shared" si="9"/>
        <v>0</v>
      </c>
      <c r="R19" s="94">
        <f t="shared" si="9"/>
        <v>-8500000</v>
      </c>
      <c r="S19" s="94">
        <f t="shared" si="9"/>
        <v>-17000000</v>
      </c>
      <c r="T19" s="90">
        <f t="shared" si="5"/>
        <v>-25500000</v>
      </c>
      <c r="W19" s="108"/>
    </row>
    <row r="20" spans="1:23" x14ac:dyDescent="0.2">
      <c r="D20" s="77" t="s">
        <v>46</v>
      </c>
      <c r="H20" s="105">
        <v>-0.85</v>
      </c>
      <c r="I20" s="105">
        <v>-0.85</v>
      </c>
      <c r="J20" s="105">
        <v>-0.85</v>
      </c>
      <c r="K20" s="105">
        <v>-0.85</v>
      </c>
      <c r="L20" s="105">
        <v>-0.85</v>
      </c>
      <c r="M20" s="105">
        <v>-0.85</v>
      </c>
      <c r="N20" s="105">
        <v>-0.85</v>
      </c>
      <c r="O20" s="105">
        <v>-0.85</v>
      </c>
      <c r="P20" s="105">
        <v>-0.85</v>
      </c>
      <c r="Q20" s="105">
        <v>-0.85</v>
      </c>
      <c r="R20" s="105">
        <v>-0.85</v>
      </c>
      <c r="S20" s="105">
        <v>-0.85</v>
      </c>
      <c r="T20" s="100"/>
    </row>
    <row r="21" spans="1:23" x14ac:dyDescent="0.2"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0"/>
    </row>
    <row r="22" spans="1:23" x14ac:dyDescent="0.2">
      <c r="A22" s="102"/>
      <c r="B22" s="100" t="s">
        <v>20</v>
      </c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90"/>
    </row>
    <row r="23" spans="1:23" x14ac:dyDescent="0.2">
      <c r="R23" s="102"/>
      <c r="S23" s="102"/>
      <c r="T23" s="100"/>
    </row>
    <row r="24" spans="1:23" s="91" customFormat="1" x14ac:dyDescent="0.2">
      <c r="C24" s="91" t="s">
        <v>21</v>
      </c>
      <c r="E24" s="109"/>
      <c r="F24" s="109"/>
      <c r="G24" s="109"/>
      <c r="H24" s="107">
        <f>-SUMIFS(lv!D:D,lv!$B:$B,"6040001")</f>
        <v>-50614</v>
      </c>
      <c r="I24" s="107">
        <f>-SUMIFS(lv!E:E,lv!$B:$B,"6040001")</f>
        <v>-22572</v>
      </c>
      <c r="J24" s="107">
        <f>-SUMIFS(lv!F:F,lv!$B:$B,"6040001")</f>
        <v>-22572</v>
      </c>
      <c r="K24" s="107">
        <f>-SUMIFS(lv!G:G,lv!$B:$B,"6040001")</f>
        <v>-89184</v>
      </c>
      <c r="L24" s="107">
        <f>-SUMIFS(lv!H:H,lv!$B:$B,"6040001")</f>
        <v>-42816</v>
      </c>
      <c r="M24" s="107">
        <f>-SUMIFS(lv!I:I,lv!$B:$B,"6040001")</f>
        <v>-16072</v>
      </c>
      <c r="N24" s="107">
        <f>-SUMIFS(lv!J:J,lv!$B:$B,"6040001")</f>
        <v>0</v>
      </c>
      <c r="O24" s="107">
        <f>-SUMIFS(lv!K:K,lv!$B:$B,"6040001")</f>
        <v>0</v>
      </c>
      <c r="P24" s="107">
        <f>-SUMIFS(lv!L:L,lv!$B:$B,"6040001")</f>
        <v>0</v>
      </c>
      <c r="Q24" s="94">
        <v>-40000</v>
      </c>
      <c r="R24" s="94">
        <v>-40000</v>
      </c>
      <c r="S24" s="94">
        <v>-40000</v>
      </c>
      <c r="T24" s="92">
        <f t="shared" ref="T24:T52" si="10">SUM(H24:S24)</f>
        <v>-363830</v>
      </c>
      <c r="V24" s="80">
        <v>2</v>
      </c>
    </row>
    <row r="25" spans="1:23" x14ac:dyDescent="0.2">
      <c r="C25" s="110" t="s">
        <v>32</v>
      </c>
      <c r="D25" s="110"/>
      <c r="E25" s="83"/>
      <c r="F25" s="83"/>
      <c r="G25" s="83"/>
      <c r="H25" s="107">
        <f>-SUMIFS(lv!D:D,lv!$B:$B,"606")-SUMIFS(lv!D:D,lv!$B:$B,"606001")-SUMIFS(lv!D:D,lv!$B:$B,"6060001")-SUMIFS(lv!D:D,lv!$B:$B,"608")</f>
        <v>-63127.429999999993</v>
      </c>
      <c r="I25" s="107">
        <f>-SUMIFS(lv!E:E,lv!$B:$B,"606")-SUMIFS(lv!E:E,lv!$B:$B,"606001")-SUMIFS(lv!E:E,lv!$B:$B,"6060001")-SUMIFS(lv!E:E,lv!$B:$B,"608")</f>
        <v>-94670.3</v>
      </c>
      <c r="J25" s="107">
        <f>-SUMIFS(lv!F:F,lv!$B:$B,"606")-SUMIFS(lv!F:F,lv!$B:$B,"606001")-SUMIFS(lv!F:F,lv!$B:$B,"6060001")-SUMIFS(lv!F:F,lv!$B:$B,"608")</f>
        <v>-133894.18400000001</v>
      </c>
      <c r="K25" s="107">
        <f>-SUMIFS(lv!G:G,lv!$B:$B,"606")-SUMIFS(lv!G:G,lv!$B:$B,"606001")-SUMIFS(lv!G:G,lv!$B:$B,"6060001")-SUMIFS(lv!G:G,lv!$B:$B,"608")</f>
        <v>-226892.91</v>
      </c>
      <c r="L25" s="107">
        <f>-SUMIFS(lv!H:H,lv!$B:$B,"606")-SUMIFS(lv!H:H,lv!$B:$B,"606001")-SUMIFS(lv!H:H,lv!$B:$B,"6060001")-SUMIFS(lv!H:H,lv!$B:$B,"608")</f>
        <v>-208595.02619999999</v>
      </c>
      <c r="M25" s="107">
        <f>-SUMIFS(lv!I:I,lv!$B:$B,"606")-SUMIFS(lv!I:I,lv!$B:$B,"606001")-SUMIFS(lv!I:I,lv!$B:$B,"6060001")-SUMIFS(lv!I:I,lv!$B:$B,"608")</f>
        <v>-414491.25840000005</v>
      </c>
      <c r="N25" s="107">
        <f>-SUMIFS(lv!J:J,lv!$B:$B,"606")-SUMIFS(lv!J:J,lv!$B:$B,"606001")-SUMIFS(lv!J:J,lv!$B:$B,"6060001")-SUMIFS(lv!J:J,lv!$B:$B,"608")</f>
        <v>-259344.66999999998</v>
      </c>
      <c r="O25" s="107">
        <f>-SUMIFS(lv!K:K,lv!$B:$B,"606")-SUMIFS(lv!K:K,lv!$B:$B,"606001")-SUMIFS(lv!K:K,lv!$B:$B,"6060001")-SUMIFS(lv!K:K,lv!$B:$B,"608")</f>
        <v>-354470.27999999997</v>
      </c>
      <c r="P25" s="107">
        <f>-SUMIFS(lv!L:L,lv!$B:$B,"606")-SUMIFS(lv!L:L,lv!$B:$B,"606001")-SUMIFS(lv!L:L,lv!$B:$B,"6060001")-SUMIFS(lv!L:L,lv!$B:$B,"608")</f>
        <v>-121352.32000000001</v>
      </c>
      <c r="Q25" s="94">
        <v>-30000</v>
      </c>
      <c r="R25" s="94">
        <v>-30000</v>
      </c>
      <c r="S25" s="94">
        <v>-30000</v>
      </c>
      <c r="T25" s="92">
        <f t="shared" si="10"/>
        <v>-1966838.3785999999</v>
      </c>
      <c r="V25" s="80">
        <v>2</v>
      </c>
    </row>
    <row r="26" spans="1:23" s="91" customFormat="1" x14ac:dyDescent="0.2">
      <c r="C26" s="91" t="s">
        <v>87</v>
      </c>
      <c r="E26" s="109"/>
      <c r="F26" s="109"/>
      <c r="G26" s="109"/>
      <c r="H26" s="107">
        <f>-SUMIFS(lv!D:D,lv!$B:$B,"6110006")</f>
        <v>0</v>
      </c>
      <c r="I26" s="107">
        <f>-SUMIFS(lv!E:E,lv!$B:$B,"6110006")</f>
        <v>0</v>
      </c>
      <c r="J26" s="107">
        <f>-SUMIFS(lv!F:F,lv!$B:$B,"6110006")</f>
        <v>-102039.201</v>
      </c>
      <c r="K26" s="107">
        <f>-SUMIFS(lv!G:G,lv!$B:$B,"6110006")</f>
        <v>-575149.25</v>
      </c>
      <c r="L26" s="107">
        <f>-SUMIFS(lv!H:H,lv!$B:$B,"6110006")</f>
        <v>-364500</v>
      </c>
      <c r="M26" s="107">
        <f>-SUMIFS(lv!I:I,lv!$B:$B,"6110006")</f>
        <v>-102944.205</v>
      </c>
      <c r="N26" s="107">
        <f>-SUMIFS(lv!J:J,lv!$B:$B,"6110006")</f>
        <v>0</v>
      </c>
      <c r="O26" s="107">
        <f>-SUMIFS(lv!K:K,lv!$B:$B,"6110006")</f>
        <v>0</v>
      </c>
      <c r="P26" s="107">
        <f>-SUMIFS(lv!L:L,lv!$B:$B,"6110006")</f>
        <v>0</v>
      </c>
      <c r="Q26" s="94"/>
      <c r="R26" s="94"/>
      <c r="S26" s="94"/>
      <c r="T26" s="92">
        <f t="shared" si="10"/>
        <v>-1144632.656</v>
      </c>
      <c r="V26" s="80">
        <v>2</v>
      </c>
    </row>
    <row r="27" spans="1:23" s="91" customFormat="1" x14ac:dyDescent="0.2">
      <c r="C27" s="91" t="s">
        <v>154</v>
      </c>
      <c r="E27" s="109"/>
      <c r="F27" s="109"/>
      <c r="G27" s="109"/>
      <c r="H27" s="107"/>
      <c r="I27" s="107"/>
      <c r="J27" s="107"/>
      <c r="K27" s="107"/>
      <c r="L27" s="107"/>
      <c r="M27" s="107"/>
      <c r="N27" s="107"/>
      <c r="O27" s="107"/>
      <c r="P27" s="107"/>
      <c r="Q27" s="94"/>
      <c r="R27" s="94"/>
      <c r="S27" s="94"/>
      <c r="T27" s="92">
        <f t="shared" si="10"/>
        <v>0</v>
      </c>
      <c r="V27" s="80">
        <v>2</v>
      </c>
    </row>
    <row r="28" spans="1:23" x14ac:dyDescent="0.2">
      <c r="C28" s="110" t="s">
        <v>157</v>
      </c>
      <c r="D28" s="110"/>
      <c r="E28" s="83"/>
      <c r="F28" s="83"/>
      <c r="G28" s="83"/>
      <c r="H28" s="107">
        <f>-SUMIFS(lv!D:D,lv!$B:$B,"6110001")-SUMIFS(lv!D:D,lv!$B:$B,"6110003")-SUMIFS(lv!D:D,lv!$B:$B,"6110004")-SUMIFS(lv!D:D,lv!$B:$B,"6110005")-SUMIFS(lv!D:D,lv!$B:$B,"6110007")-SUMIFS(lv!D:D,lv!$B:$B,"6110008")-SUMIFS(lv!D:D,lv!$B:$B,"6110009")-SUMIFS(lv!D:D,lv!$B:$B,"6110010")-SUMIFS(lv!D:D,lv!$B:$B,"6110013")-SUMIFS(lv!D:D,lv!$B:$B,"6110014")</f>
        <v>-217334.07990000001</v>
      </c>
      <c r="I28" s="107">
        <f>-SUMIFS(lv!E:E,lv!$B:$B,"6110001")-SUMIFS(lv!E:E,lv!$B:$B,"6110003")-SUMIFS(lv!E:E,lv!$B:$B,"6110004")-SUMIFS(lv!E:E,lv!$B:$B,"6110005")-SUMIFS(lv!E:E,lv!$B:$B,"6110007")-SUMIFS(lv!E:E,lv!$B:$B,"6110008")-SUMIFS(lv!E:E,lv!$B:$B,"6110009")-SUMIFS(lv!E:E,lv!$B:$B,"6110010")-SUMIFS(lv!E:E,lv!$B:$B,"6110013")-SUMIFS(lv!E:E,lv!$B:$B,"6110014")</f>
        <v>-25950</v>
      </c>
      <c r="J28" s="107">
        <f>-SUMIFS(lv!F:F,lv!$B:$B,"6110001")-SUMIFS(lv!F:F,lv!$B:$B,"6110003")-SUMIFS(lv!F:F,lv!$B:$B,"6110004")-SUMIFS(lv!F:F,lv!$B:$B,"6110005")-SUMIFS(lv!F:F,lv!$B:$B,"6110007")-SUMIFS(lv!F:F,lv!$B:$B,"6110008")-SUMIFS(lv!F:F,lv!$B:$B,"6110009")-SUMIFS(lv!F:F,lv!$B:$B,"6110010")-SUMIFS(lv!F:F,lv!$B:$B,"6110013")-SUMIFS(lv!F:F,lv!$B:$B,"6110014")</f>
        <v>-110666.67</v>
      </c>
      <c r="K28" s="107">
        <f>-SUMIFS(lv!G:G,lv!$B:$B,"6110001")-SUMIFS(lv!G:G,lv!$B:$B,"6110003")-SUMIFS(lv!G:G,lv!$B:$B,"6110004")-SUMIFS(lv!G:G,lv!$B:$B,"6110005")-SUMIFS(lv!G:G,lv!$B:$B,"6110007")-SUMIFS(lv!G:G,lv!$B:$B,"6110008")-SUMIFS(lv!G:G,lv!$B:$B,"6110009")-SUMIFS(lv!G:G,lv!$B:$B,"6110010")-SUMIFS(lv!G:G,lv!$B:$B,"6110013")-SUMIFS(lv!G:G,lv!$B:$B,"6110014")</f>
        <v>-252500</v>
      </c>
      <c r="L28" s="107">
        <f>-SUMIFS(lv!H:H,lv!$B:$B,"6110001")-SUMIFS(lv!H:H,lv!$B:$B,"6110003")-SUMIFS(lv!H:H,lv!$B:$B,"6110004")-SUMIFS(lv!H:H,lv!$B:$B,"6110005")-SUMIFS(lv!H:H,lv!$B:$B,"6110007")-SUMIFS(lv!H:H,lv!$B:$B,"6110008")-SUMIFS(lv!H:H,lv!$B:$B,"6110009")-SUMIFS(lv!H:H,lv!$B:$B,"6110010")-SUMIFS(lv!H:H,lv!$B:$B,"6110013")-SUMIFS(lv!H:H,lv!$B:$B,"6110014")</f>
        <v>-223198.33000000002</v>
      </c>
      <c r="M28" s="107">
        <f>-SUMIFS(lv!I:I,lv!$B:$B,"6110001")-SUMIFS(lv!I:I,lv!$B:$B,"6110003")-SUMIFS(lv!I:I,lv!$B:$B,"6110004")-SUMIFS(lv!I:I,lv!$B:$B,"6110005")-SUMIFS(lv!I:I,lv!$B:$B,"6110007")-SUMIFS(lv!I:I,lv!$B:$B,"6110008")-SUMIFS(lv!I:I,lv!$B:$B,"6110009")-SUMIFS(lv!I:I,lv!$B:$B,"6110010")-SUMIFS(lv!I:I,lv!$B:$B,"6110013")-SUMIFS(lv!I:I,lv!$B:$B,"6110014")</f>
        <v>-266333.33999999997</v>
      </c>
      <c r="N28" s="107">
        <f>-SUMIFS(lv!J:J,lv!$B:$B,"6110001")-SUMIFS(lv!J:J,lv!$B:$B,"6110003")-SUMIFS(lv!J:J,lv!$B:$B,"6110004")-SUMIFS(lv!J:J,lv!$B:$B,"6110005")-SUMIFS(lv!J:J,lv!$B:$B,"6110007")-SUMIFS(lv!J:J,lv!$B:$B,"6110008")-SUMIFS(lv!J:J,lv!$B:$B,"6110009")-SUMIFS(lv!J:J,lv!$B:$B,"6110010")-SUMIFS(lv!J:J,lv!$B:$B,"6110013")-SUMIFS(lv!J:J,lv!$B:$B,"6110014")</f>
        <v>-99666.67</v>
      </c>
      <c r="O28" s="107">
        <f>-SUMIFS(lv!K:K,lv!$B:$B,"6110001")-SUMIFS(lv!K:K,lv!$B:$B,"6110003")-SUMIFS(lv!K:K,lv!$B:$B,"6110004")-SUMIFS(lv!K:K,lv!$B:$B,"6110005")-SUMIFS(lv!K:K,lv!$B:$B,"6110007")-SUMIFS(lv!K:K,lv!$B:$B,"6110008")-SUMIFS(lv!K:K,lv!$B:$B,"6110009")-SUMIFS(lv!K:K,lv!$B:$B,"6110010")-SUMIFS(lv!K:K,lv!$B:$B,"6110013")-SUMIFS(lv!K:K,lv!$B:$B,"6110014")</f>
        <v>-127719.82</v>
      </c>
      <c r="P28" s="107">
        <f>-SUMIFS(lv!L:L,lv!$B:$B,"6110001")-SUMIFS(lv!L:L,lv!$B:$B,"6110003")-SUMIFS(lv!L:L,lv!$B:$B,"6110004")-SUMIFS(lv!L:L,lv!$B:$B,"6110005")-SUMIFS(lv!L:L,lv!$B:$B,"6110007")-SUMIFS(lv!L:L,lv!$B:$B,"6110008")-SUMIFS(lv!L:L,lv!$B:$B,"6110009")-SUMIFS(lv!L:L,lv!$B:$B,"6110010")-SUMIFS(lv!L:L,lv!$B:$B,"6110013")-SUMIFS(lv!L:L,lv!$B:$B,"6110014")</f>
        <v>-492666.67</v>
      </c>
      <c r="Q28" s="94">
        <v>-180000</v>
      </c>
      <c r="R28" s="94">
        <v>-180000</v>
      </c>
      <c r="S28" s="94">
        <v>-180000</v>
      </c>
      <c r="T28" s="92">
        <f t="shared" si="10"/>
        <v>-2356035.5799000002</v>
      </c>
      <c r="V28" s="80">
        <v>2</v>
      </c>
    </row>
    <row r="29" spans="1:23" s="91" customFormat="1" x14ac:dyDescent="0.2">
      <c r="C29" s="91" t="s">
        <v>130</v>
      </c>
      <c r="E29" s="109"/>
      <c r="F29" s="109"/>
      <c r="G29" s="109"/>
      <c r="H29" s="107">
        <f>-SUMIFS(lv!D:D,lv!$B:$B,"613")-H30-H31</f>
        <v>-91270.834099999978</v>
      </c>
      <c r="I29" s="107">
        <f>-SUMIFS(lv!E:E,lv!$B:$B,"613")-I30-I31</f>
        <v>422449.54500000004</v>
      </c>
      <c r="J29" s="107">
        <f>-SUMIFS(lv!F:F,lv!$B:$B,"613")-J30-J31</f>
        <v>-562875</v>
      </c>
      <c r="K29" s="107">
        <f>-SUMIFS(lv!G:G,lv!$B:$B,"613")-K30-K31</f>
        <v>14542.569999999949</v>
      </c>
      <c r="L29" s="107">
        <f>-SUMIFS(lv!H:H,lv!$B:$B,"613")-L30-L31</f>
        <v>64225</v>
      </c>
      <c r="M29" s="107">
        <f>-SUMIFS(lv!I:I,lv!$B:$B,"613")-M30-M31</f>
        <v>-235775</v>
      </c>
      <c r="N29" s="107">
        <f>-SUMIFS(lv!J:J,lv!$B:$B,"613")-N30-N31</f>
        <v>-35775</v>
      </c>
      <c r="O29" s="107">
        <f>-SUMIFS(lv!K:K,lv!$B:$B,"613")-O30-O31</f>
        <v>-35775</v>
      </c>
      <c r="P29" s="107">
        <f>-SUMIFS(lv!L:L,lv!$B:$B,"613")-P30-P31</f>
        <v>-35775</v>
      </c>
      <c r="Q29" s="94"/>
      <c r="R29" s="94"/>
      <c r="S29" s="94"/>
      <c r="T29" s="92">
        <f t="shared" si="10"/>
        <v>-496028.71909999999</v>
      </c>
      <c r="V29" s="80">
        <v>2</v>
      </c>
    </row>
    <row r="30" spans="1:23" s="91" customFormat="1" x14ac:dyDescent="0.2">
      <c r="C30" s="91" t="s">
        <v>155</v>
      </c>
      <c r="E30" s="109"/>
      <c r="F30" s="109"/>
      <c r="G30" s="109"/>
      <c r="H30" s="107">
        <f>-3500*135</f>
        <v>-472500</v>
      </c>
      <c r="I30" s="107">
        <f t="shared" ref="I30:P30" si="11">-3500*135</f>
        <v>-472500</v>
      </c>
      <c r="J30" s="107">
        <f t="shared" si="11"/>
        <v>-472500</v>
      </c>
      <c r="K30" s="107">
        <f t="shared" si="11"/>
        <v>-472500</v>
      </c>
      <c r="L30" s="107">
        <f t="shared" si="11"/>
        <v>-472500</v>
      </c>
      <c r="M30" s="107">
        <f t="shared" si="11"/>
        <v>-472500</v>
      </c>
      <c r="N30" s="107">
        <f t="shared" si="11"/>
        <v>-472500</v>
      </c>
      <c r="O30" s="107">
        <f t="shared" si="11"/>
        <v>-472500</v>
      </c>
      <c r="P30" s="107">
        <f t="shared" si="11"/>
        <v>-472500</v>
      </c>
      <c r="Q30" s="94">
        <f t="shared" ref="Q30:S30" si="12">-3500*135</f>
        <v>-472500</v>
      </c>
      <c r="R30" s="94">
        <f t="shared" si="12"/>
        <v>-472500</v>
      </c>
      <c r="S30" s="94">
        <f t="shared" si="12"/>
        <v>-472500</v>
      </c>
      <c r="T30" s="92">
        <f t="shared" si="10"/>
        <v>-5670000</v>
      </c>
      <c r="V30" s="80"/>
    </row>
    <row r="31" spans="1:23" s="91" customFormat="1" x14ac:dyDescent="0.2">
      <c r="C31" s="91" t="s">
        <v>163</v>
      </c>
      <c r="E31" s="109"/>
      <c r="F31" s="109"/>
      <c r="G31" s="109"/>
      <c r="H31" s="107">
        <v>-100000</v>
      </c>
      <c r="I31" s="107">
        <v>-100000</v>
      </c>
      <c r="J31" s="107">
        <v>-100000</v>
      </c>
      <c r="K31" s="107">
        <v>-100000</v>
      </c>
      <c r="L31" s="107">
        <v>-100000</v>
      </c>
      <c r="M31" s="107">
        <v>-100000</v>
      </c>
      <c r="N31" s="107">
        <v>-100000</v>
      </c>
      <c r="O31" s="107">
        <v>-100000</v>
      </c>
      <c r="P31" s="107">
        <v>-100000</v>
      </c>
      <c r="Q31" s="94">
        <v>-100000</v>
      </c>
      <c r="R31" s="94">
        <v>-100000</v>
      </c>
      <c r="S31" s="94">
        <v>-100000</v>
      </c>
      <c r="T31" s="92">
        <f t="shared" si="10"/>
        <v>-1200000</v>
      </c>
      <c r="V31" s="80"/>
    </row>
    <row r="32" spans="1:23" x14ac:dyDescent="0.2">
      <c r="C32" s="110" t="s">
        <v>22</v>
      </c>
      <c r="D32" s="110"/>
      <c r="E32" s="83"/>
      <c r="F32" s="83"/>
      <c r="G32" s="83"/>
      <c r="H32" s="107">
        <f>-SUMIFS(lv!D:D,lv!$B:$B,"615")</f>
        <v>0</v>
      </c>
      <c r="I32" s="107">
        <f>-SUMIFS(lv!E:E,lv!$B:$B,"615")</f>
        <v>0</v>
      </c>
      <c r="J32" s="107">
        <f>-SUMIFS(lv!F:F,lv!$B:$B,"615")</f>
        <v>0</v>
      </c>
      <c r="K32" s="107">
        <f>-SUMIFS(lv!G:G,lv!$B:$B,"615")</f>
        <v>0</v>
      </c>
      <c r="L32" s="107">
        <f>-SUMIFS(lv!H:H,lv!$B:$B,"615")</f>
        <v>0</v>
      </c>
      <c r="M32" s="107">
        <f>-SUMIFS(lv!I:I,lv!$B:$B,"615")</f>
        <v>0</v>
      </c>
      <c r="N32" s="107">
        <f>-SUMIFS(lv!J:J,lv!$B:$B,"615")</f>
        <v>0</v>
      </c>
      <c r="O32" s="107">
        <f>-SUMIFS(lv!K:K,lv!$B:$B,"615")</f>
        <v>0</v>
      </c>
      <c r="P32" s="107">
        <f>-SUMIFS(lv!L:L,lv!$B:$B,"615")</f>
        <v>0</v>
      </c>
      <c r="Q32" s="94"/>
      <c r="R32" s="94"/>
      <c r="S32" s="94"/>
      <c r="T32" s="92">
        <f t="shared" si="10"/>
        <v>0</v>
      </c>
      <c r="V32" s="80">
        <v>2</v>
      </c>
    </row>
    <row r="33" spans="1:22" x14ac:dyDescent="0.2">
      <c r="C33" s="110" t="s">
        <v>26</v>
      </c>
      <c r="D33" s="110"/>
      <c r="E33" s="83"/>
      <c r="F33" s="83"/>
      <c r="G33" s="83"/>
      <c r="H33" s="107">
        <f>-SUMIFS(lv!D:D,lv!$B:$B,"616")</f>
        <v>0</v>
      </c>
      <c r="I33" s="107">
        <f>-SUMIFS(lv!E:E,lv!$B:$B,"616")</f>
        <v>0</v>
      </c>
      <c r="J33" s="107">
        <f>-SUMIFS(lv!F:F,lv!$B:$B,"616")</f>
        <v>0</v>
      </c>
      <c r="K33" s="107">
        <f>-SUMIFS(lv!G:G,lv!$B:$B,"616")</f>
        <v>-21070.14</v>
      </c>
      <c r="L33" s="107">
        <f>-SUMIFS(lv!H:H,lv!$B:$B,"616")</f>
        <v>0</v>
      </c>
      <c r="M33" s="107">
        <f>-SUMIFS(lv!I:I,lv!$B:$B,"616")</f>
        <v>-2800</v>
      </c>
      <c r="N33" s="107">
        <f>-SUMIFS(lv!J:J,lv!$B:$B,"616")</f>
        <v>0</v>
      </c>
      <c r="O33" s="107">
        <f>-SUMIFS(lv!K:K,lv!$B:$B,"616")</f>
        <v>0</v>
      </c>
      <c r="P33" s="107">
        <f>-SUMIFS(lv!L:L,lv!$B:$B,"616")</f>
        <v>0</v>
      </c>
      <c r="Q33" s="94"/>
      <c r="R33" s="94"/>
      <c r="S33" s="94"/>
      <c r="T33" s="92">
        <f t="shared" si="10"/>
        <v>-23870.14</v>
      </c>
    </row>
    <row r="34" spans="1:22" x14ac:dyDescent="0.2">
      <c r="C34" s="110" t="s">
        <v>88</v>
      </c>
      <c r="D34" s="110"/>
      <c r="E34" s="83"/>
      <c r="F34" s="83"/>
      <c r="G34" s="83"/>
      <c r="H34" s="107">
        <f>-SUMIFS(lv!D:D,lv!$B:$B,"618")</f>
        <v>-331552</v>
      </c>
      <c r="I34" s="107">
        <f>-SUMIFS(lv!E:E,lv!$B:$B,"618")</f>
        <v>-20000</v>
      </c>
      <c r="J34" s="107">
        <f>-SUMIFS(lv!F:F,lv!$B:$B,"618")</f>
        <v>-16180.3</v>
      </c>
      <c r="K34" s="107">
        <f>-SUMIFS(lv!G:G,lv!$B:$B,"618")</f>
        <v>-120683.07</v>
      </c>
      <c r="L34" s="107">
        <f>-SUMIFS(lv!H:H,lv!$B:$B,"618")</f>
        <v>0</v>
      </c>
      <c r="M34" s="107">
        <f>-SUMIFS(lv!I:I,lv!$B:$B,"618")</f>
        <v>-219097</v>
      </c>
      <c r="N34" s="107">
        <f>-SUMIFS(lv!J:J,lv!$B:$B,"618")</f>
        <v>-274026.59999999998</v>
      </c>
      <c r="O34" s="107">
        <f>-SUMIFS(lv!K:K,lv!$B:$B,"618")</f>
        <v>-129197</v>
      </c>
      <c r="P34" s="107">
        <f>-SUMIFS(lv!L:L,lv!$B:$B,"618")</f>
        <v>-44200</v>
      </c>
      <c r="Q34" s="94">
        <v>-100000</v>
      </c>
      <c r="R34" s="94">
        <v>-100000</v>
      </c>
      <c r="S34" s="94">
        <v>-100000</v>
      </c>
      <c r="T34" s="92">
        <f t="shared" si="10"/>
        <v>-1454935.97</v>
      </c>
      <c r="V34" s="80">
        <v>2</v>
      </c>
    </row>
    <row r="35" spans="1:22" s="91" customFormat="1" x14ac:dyDescent="0.2">
      <c r="C35" s="91" t="s">
        <v>89</v>
      </c>
      <c r="E35" s="109"/>
      <c r="F35" s="109"/>
      <c r="G35" s="109"/>
      <c r="H35" s="107">
        <f>-194.2*2.5*1.2*140</f>
        <v>-81564</v>
      </c>
      <c r="I35" s="107">
        <f t="shared" ref="I35:P35" si="13">-194.2*2.5*1.2*140</f>
        <v>-81564</v>
      </c>
      <c r="J35" s="107">
        <f t="shared" si="13"/>
        <v>-81564</v>
      </c>
      <c r="K35" s="107">
        <f t="shared" si="13"/>
        <v>-81564</v>
      </c>
      <c r="L35" s="107">
        <f t="shared" si="13"/>
        <v>-81564</v>
      </c>
      <c r="M35" s="107">
        <f t="shared" si="13"/>
        <v>-81564</v>
      </c>
      <c r="N35" s="107">
        <f t="shared" si="13"/>
        <v>-81564</v>
      </c>
      <c r="O35" s="107">
        <f t="shared" si="13"/>
        <v>-81564</v>
      </c>
      <c r="P35" s="107">
        <f t="shared" si="13"/>
        <v>-81564</v>
      </c>
      <c r="Q35" s="94"/>
      <c r="R35" s="94"/>
      <c r="S35" s="94"/>
      <c r="T35" s="92">
        <f t="shared" si="10"/>
        <v>-734076</v>
      </c>
      <c r="V35" s="80"/>
    </row>
    <row r="36" spans="1:22" s="91" customFormat="1" x14ac:dyDescent="0.2">
      <c r="C36" s="91" t="s">
        <v>156</v>
      </c>
      <c r="E36" s="109"/>
      <c r="F36" s="109"/>
      <c r="G36" s="109"/>
      <c r="H36" s="107">
        <f>-SUMIFS(lv!D:D,lv!$B:$B,"6240003")-SUMIFS(lv!D:D,lv!$B:$B,"6240004")-H35</f>
        <v>-221550</v>
      </c>
      <c r="I36" s="107">
        <f>-SUMIFS(lv!E:E,lv!$B:$B,"6240003")-SUMIFS(lv!E:E,lv!$B:$B,"6240004")-I35</f>
        <v>-125178.20000000001</v>
      </c>
      <c r="J36" s="107">
        <f>-SUMIFS(lv!F:F,lv!$B:$B,"6240003")-SUMIFS(lv!F:F,lv!$B:$B,"6240004")-J35</f>
        <v>-675700</v>
      </c>
      <c r="K36" s="107">
        <f>-SUMIFS(lv!G:G,lv!$B:$B,"6240003")-SUMIFS(lv!G:G,lv!$B:$B,"6240004")-K35</f>
        <v>-613102.34000000008</v>
      </c>
      <c r="L36" s="107">
        <f>-SUMIFS(lv!H:H,lv!$B:$B,"6240003")-SUMIFS(lv!H:H,lv!$B:$B,"6240004")-L35</f>
        <v>-1175086.24</v>
      </c>
      <c r="M36" s="107">
        <f>-SUMIFS(lv!I:I,lv!$B:$B,"6240003")-SUMIFS(lv!I:I,lv!$B:$B,"6240004")-M35</f>
        <v>-3719093.92</v>
      </c>
      <c r="N36" s="107">
        <f>-SUMIFS(lv!J:J,lv!$B:$B,"6240003")-SUMIFS(lv!J:J,lv!$B:$B,"6240004")-N35</f>
        <v>-1502589.68</v>
      </c>
      <c r="O36" s="107">
        <f>-SUMIFS(lv!K:K,lv!$B:$B,"6240003")-SUMIFS(lv!K:K,lv!$B:$B,"6240004")-O35</f>
        <v>-93167</v>
      </c>
      <c r="P36" s="107">
        <f>-SUMIFS(lv!L:L,lv!$B:$B,"6240003")-SUMIFS(lv!L:L,lv!$B:$B,"6240004")-P35</f>
        <v>-457829</v>
      </c>
      <c r="Q36" s="94">
        <v>-150000</v>
      </c>
      <c r="R36" s="94">
        <v>-150000</v>
      </c>
      <c r="S36" s="94">
        <v>-150000</v>
      </c>
      <c r="T36" s="92">
        <f t="shared" si="10"/>
        <v>-9033296.379999999</v>
      </c>
      <c r="V36" s="80"/>
    </row>
    <row r="37" spans="1:22" x14ac:dyDescent="0.2">
      <c r="C37" s="110" t="s">
        <v>25</v>
      </c>
      <c r="D37" s="110"/>
      <c r="E37" s="83"/>
      <c r="F37" s="83"/>
      <c r="G37" s="83"/>
      <c r="H37" s="107">
        <f>-SUMIFS(lv!D:D,lv!$B:$B,"625")</f>
        <v>0</v>
      </c>
      <c r="I37" s="107">
        <f>-SUMIFS(lv!E:E,lv!$B:$B,"625")</f>
        <v>0</v>
      </c>
      <c r="J37" s="107">
        <f>-SUMIFS(lv!F:F,lv!$B:$B,"625")</f>
        <v>0</v>
      </c>
      <c r="K37" s="107">
        <f>-SUMIFS(lv!G:G,lv!$B:$B,"625")</f>
        <v>-40674</v>
      </c>
      <c r="L37" s="107">
        <f>-SUMIFS(lv!H:H,lv!$B:$B,"625")</f>
        <v>0</v>
      </c>
      <c r="M37" s="107">
        <f>-SUMIFS(lv!I:I,lv!$B:$B,"625")</f>
        <v>0</v>
      </c>
      <c r="N37" s="107">
        <f>-SUMIFS(lv!J:J,lv!$B:$B,"625")</f>
        <v>0</v>
      </c>
      <c r="O37" s="107">
        <f>-SUMIFS(lv!K:K,lv!$B:$B,"625")</f>
        <v>0</v>
      </c>
      <c r="P37" s="107">
        <f>-SUMIFS(lv!L:L,lv!$B:$B,"625")</f>
        <v>0</v>
      </c>
      <c r="Q37" s="94"/>
      <c r="R37" s="94"/>
      <c r="S37" s="94"/>
      <c r="T37" s="92">
        <f t="shared" si="10"/>
        <v>-40674</v>
      </c>
    </row>
    <row r="38" spans="1:22" x14ac:dyDescent="0.2">
      <c r="C38" s="110" t="s">
        <v>23</v>
      </c>
      <c r="D38" s="110"/>
      <c r="E38" s="83"/>
      <c r="F38" s="83"/>
      <c r="G38" s="83"/>
      <c r="H38" s="107">
        <f>-SUMIFS(lv!D:D,lv!$B:$B,"6260001")-SUMIFS(lv!D:D,lv!$B:$B,"6260002")-SUMIFS(lv!D:D,lv!$B:$B,"6260003")</f>
        <v>0</v>
      </c>
      <c r="I38" s="107">
        <f>-SUMIFS(lv!E:E,lv!$B:$B,"6260001")-SUMIFS(lv!E:E,lv!$B:$B,"6260002")-SUMIFS(lv!E:E,lv!$B:$B,"6260003")</f>
        <v>0</v>
      </c>
      <c r="J38" s="107">
        <f>-SUMIFS(lv!F:F,lv!$B:$B,"6260001")-SUMIFS(lv!F:F,lv!$B:$B,"6260002")-SUMIFS(lv!F:F,lv!$B:$B,"6260003")</f>
        <v>-7866.67</v>
      </c>
      <c r="K38" s="107">
        <f>-SUMIFS(lv!G:G,lv!$B:$B,"6260001")-SUMIFS(lv!G:G,lv!$B:$B,"6260002")-SUMIFS(lv!G:G,lv!$B:$B,"6260003")</f>
        <v>-2500</v>
      </c>
      <c r="L38" s="107">
        <f>-SUMIFS(lv!H:H,lv!$B:$B,"6260001")-SUMIFS(lv!H:H,lv!$B:$B,"6260002")-SUMIFS(lv!H:H,lv!$B:$B,"6260003")</f>
        <v>-37148.46</v>
      </c>
      <c r="M38" s="107">
        <f>-SUMIFS(lv!I:I,lv!$B:$B,"6260001")-SUMIFS(lv!I:I,lv!$B:$B,"6260002")-SUMIFS(lv!I:I,lv!$B:$B,"6260003")</f>
        <v>-31450.84</v>
      </c>
      <c r="N38" s="107">
        <f>-SUMIFS(lv!J:J,lv!$B:$B,"6260001")-SUMIFS(lv!J:J,lv!$B:$B,"6260002")-SUMIFS(lv!J:J,lv!$B:$B,"6260003")</f>
        <v>-43438.52</v>
      </c>
      <c r="O38" s="107">
        <f>-SUMIFS(lv!K:K,lv!$B:$B,"6260001")-SUMIFS(lv!K:K,lv!$B:$B,"6260002")-SUMIFS(lv!K:K,lv!$B:$B,"6260003")</f>
        <v>-44123.199999999997</v>
      </c>
      <c r="P38" s="107">
        <f>-SUMIFS(lv!L:L,lv!$B:$B,"6260001")-SUMIFS(lv!L:L,lv!$B:$B,"6260002")-SUMIFS(lv!L:L,lv!$B:$B,"6260003")</f>
        <v>-50980.79</v>
      </c>
      <c r="Q38" s="94">
        <v>-13000</v>
      </c>
      <c r="R38" s="94">
        <v>-13000</v>
      </c>
      <c r="S38" s="94">
        <v>-13000</v>
      </c>
      <c r="T38" s="92">
        <f t="shared" si="10"/>
        <v>-256508.48</v>
      </c>
      <c r="V38" s="80">
        <v>2</v>
      </c>
    </row>
    <row r="39" spans="1:22" x14ac:dyDescent="0.2">
      <c r="C39" s="110" t="s">
        <v>24</v>
      </c>
      <c r="D39" s="110"/>
      <c r="E39" s="83"/>
      <c r="F39" s="83"/>
      <c r="G39" s="83"/>
      <c r="H39" s="107">
        <f>-SUMIFS(lv!D:D,lv!$B:$B,"6271")</f>
        <v>-156247</v>
      </c>
      <c r="I39" s="107">
        <f>-SUMIFS(lv!E:E,lv!$B:$B,"6271")</f>
        <v>0</v>
      </c>
      <c r="J39" s="107">
        <f>-SUMIFS(lv!F:F,lv!$B:$B,"6271")</f>
        <v>-732915.8</v>
      </c>
      <c r="K39" s="107">
        <f>-SUMIFS(lv!G:G,lv!$B:$B,"6271")</f>
        <v>-630096</v>
      </c>
      <c r="L39" s="107">
        <f>-SUMIFS(lv!H:H,lv!$B:$B,"6271")</f>
        <v>-78160.2</v>
      </c>
      <c r="M39" s="107">
        <f>-SUMIFS(lv!I:I,lv!$B:$B,"6271")</f>
        <v>-347370.8</v>
      </c>
      <c r="N39" s="107">
        <f>-SUMIFS(lv!J:J,lv!$B:$B,"6271")</f>
        <v>-145684</v>
      </c>
      <c r="O39" s="107">
        <f>-SUMIFS(lv!K:K,lv!$B:$B,"6271")</f>
        <v>-144320</v>
      </c>
      <c r="P39" s="107">
        <f>-SUMIFS(lv!L:L,lv!$B:$B,"6271")</f>
        <v>-163920.29999999999</v>
      </c>
      <c r="Q39" s="94">
        <v>-250000</v>
      </c>
      <c r="R39" s="94">
        <v>-250000</v>
      </c>
      <c r="S39" s="94">
        <v>-250000</v>
      </c>
      <c r="T39" s="92">
        <f t="shared" si="10"/>
        <v>-3148714.0999999996</v>
      </c>
      <c r="V39" s="80">
        <v>2</v>
      </c>
    </row>
    <row r="40" spans="1:22" x14ac:dyDescent="0.2">
      <c r="C40" s="110" t="s">
        <v>33</v>
      </c>
      <c r="D40" s="110"/>
      <c r="E40" s="83"/>
      <c r="F40" s="83"/>
      <c r="G40" s="83"/>
      <c r="H40" s="107">
        <f>-SUMIFS(lv!D:D,lv!$B:$B,"628")</f>
        <v>-45754.69</v>
      </c>
      <c r="I40" s="107">
        <f>-SUMIFS(lv!E:E,lv!$B:$B,"628")</f>
        <v>-46651.06</v>
      </c>
      <c r="J40" s="107">
        <f>-SUMIFS(lv!F:F,lv!$B:$B,"628")</f>
        <v>-23605.8</v>
      </c>
      <c r="K40" s="107">
        <f>-SUMIFS(lv!G:G,lv!$B:$B,"628")</f>
        <v>-54888.07</v>
      </c>
      <c r="L40" s="107">
        <f>-SUMIFS(lv!H:H,lv!$B:$B,"628")</f>
        <v>-47610.57</v>
      </c>
      <c r="M40" s="107">
        <f>-SUMIFS(lv!I:I,lv!$B:$B,"628")</f>
        <v>-86264.15</v>
      </c>
      <c r="N40" s="107">
        <f>-SUMIFS(lv!J:J,lv!$B:$B,"628")</f>
        <v>-49375.74</v>
      </c>
      <c r="O40" s="107">
        <f>-SUMIFS(lv!K:K,lv!$B:$B,"628")</f>
        <v>-14524.96</v>
      </c>
      <c r="P40" s="107">
        <f>-SUMIFS(lv!L:L,lv!$B:$B,"628")</f>
        <v>0</v>
      </c>
      <c r="Q40" s="94">
        <v>-50000</v>
      </c>
      <c r="R40" s="94">
        <v>-50000</v>
      </c>
      <c r="S40" s="94">
        <v>-50000</v>
      </c>
      <c r="T40" s="92">
        <f t="shared" si="10"/>
        <v>-518675.04</v>
      </c>
    </row>
    <row r="41" spans="1:22" s="91" customFormat="1" x14ac:dyDescent="0.2">
      <c r="C41" s="91" t="s">
        <v>34</v>
      </c>
      <c r="E41" s="109"/>
      <c r="F41" s="109"/>
      <c r="G41" s="109"/>
      <c r="H41" s="107"/>
      <c r="I41" s="107"/>
      <c r="J41" s="107"/>
      <c r="K41" s="107"/>
      <c r="L41" s="107"/>
      <c r="M41" s="107"/>
      <c r="N41" s="107"/>
      <c r="O41" s="107"/>
      <c r="P41" s="107"/>
      <c r="Q41" s="94"/>
      <c r="R41" s="94"/>
      <c r="S41" s="94"/>
      <c r="T41" s="92">
        <f t="shared" si="10"/>
        <v>0</v>
      </c>
      <c r="V41" s="80"/>
    </row>
    <row r="42" spans="1:22" x14ac:dyDescent="0.2">
      <c r="C42" s="110" t="s">
        <v>35</v>
      </c>
      <c r="D42" s="110"/>
      <c r="E42" s="83"/>
      <c r="F42" s="83"/>
      <c r="G42" s="83"/>
      <c r="H42" s="107">
        <f>-SUMIFS(lv!D:D,lv!$B:$B,"6320001")</f>
        <v>-10054.1</v>
      </c>
      <c r="I42" s="107">
        <f>-SUMIFS(lv!E:E,lv!$B:$B,"6320001")</f>
        <v>0</v>
      </c>
      <c r="J42" s="107">
        <f>-SUMIFS(lv!F:F,lv!$B:$B,"6320001")</f>
        <v>0</v>
      </c>
      <c r="K42" s="107">
        <f>-SUMIFS(lv!G:G,lv!$B:$B,"6320001")</f>
        <v>0</v>
      </c>
      <c r="L42" s="107">
        <f>-SUMIFS(lv!H:H,lv!$B:$B,"6320001")</f>
        <v>0</v>
      </c>
      <c r="M42" s="107">
        <f>-SUMIFS(lv!I:I,lv!$B:$B,"6320001")</f>
        <v>0</v>
      </c>
      <c r="N42" s="107">
        <f>-SUMIFS(lv!J:J,lv!$B:$B,"6320001")</f>
        <v>0</v>
      </c>
      <c r="O42" s="107">
        <f>-SUMIFS(lv!K:K,lv!$B:$B,"6320001")</f>
        <v>0</v>
      </c>
      <c r="P42" s="107">
        <f>-SUMIFS(lv!L:L,lv!$B:$B,"6320001")</f>
        <v>0</v>
      </c>
      <c r="Q42" s="94"/>
      <c r="R42" s="94"/>
      <c r="S42" s="94"/>
      <c r="T42" s="92">
        <f t="shared" si="10"/>
        <v>-10054.1</v>
      </c>
    </row>
    <row r="43" spans="1:22" s="91" customFormat="1" x14ac:dyDescent="0.2">
      <c r="C43" s="91" t="s">
        <v>36</v>
      </c>
      <c r="E43" s="109"/>
      <c r="F43" s="109"/>
      <c r="G43" s="109"/>
      <c r="H43" s="107">
        <f>-SUMIFS(lv!D:D,lv!$B:$B,"634")</f>
        <v>0</v>
      </c>
      <c r="I43" s="107">
        <f>-SUMIFS(lv!E:E,lv!$B:$B,"634")</f>
        <v>0</v>
      </c>
      <c r="J43" s="107">
        <f>-SUMIFS(lv!F:F,lv!$B:$B,"634")</f>
        <v>-45000</v>
      </c>
      <c r="K43" s="107">
        <f>-SUMIFS(lv!G:G,lv!$B:$B,"634")</f>
        <v>0</v>
      </c>
      <c r="L43" s="107">
        <f>-SUMIFS(lv!H:H,lv!$B:$B,"634")</f>
        <v>0</v>
      </c>
      <c r="M43" s="107">
        <f>-SUMIFS(lv!I:I,lv!$B:$B,"634")</f>
        <v>0</v>
      </c>
      <c r="N43" s="107">
        <f>-SUMIFS(lv!J:J,lv!$B:$B,"634")</f>
        <v>0</v>
      </c>
      <c r="O43" s="107">
        <f>-SUMIFS(lv!K:K,lv!$B:$B,"634")</f>
        <v>0</v>
      </c>
      <c r="P43" s="107">
        <f>-SUMIFS(lv!L:L,lv!$B:$B,"634")</f>
        <v>0</v>
      </c>
      <c r="Q43" s="94"/>
      <c r="R43" s="94"/>
      <c r="S43" s="94"/>
      <c r="T43" s="92">
        <f t="shared" si="10"/>
        <v>-45000</v>
      </c>
      <c r="V43" s="80"/>
    </row>
    <row r="44" spans="1:22" x14ac:dyDescent="0.2">
      <c r="C44" s="110" t="s">
        <v>37</v>
      </c>
      <c r="D44" s="110"/>
      <c r="E44" s="83"/>
      <c r="F44" s="83"/>
      <c r="G44" s="83"/>
      <c r="H44" s="107">
        <f>-SUMIFS(lv!D:D,lv!$B:$B,"638")</f>
        <v>-10295</v>
      </c>
      <c r="I44" s="107">
        <f>-SUMIFS(lv!E:E,lv!$B:$B,"638")</f>
        <v>-8978</v>
      </c>
      <c r="J44" s="107">
        <f>-SUMIFS(lv!F:F,lv!$B:$B,"638")</f>
        <v>-10297</v>
      </c>
      <c r="K44" s="107">
        <f>-SUMIFS(lv!G:G,lv!$B:$B,"638")</f>
        <v>-5967</v>
      </c>
      <c r="L44" s="107">
        <f>-SUMIFS(lv!H:H,lv!$B:$B,"638")</f>
        <v>-6766</v>
      </c>
      <c r="M44" s="107">
        <f>-SUMIFS(lv!I:I,lv!$B:$B,"638")</f>
        <v>-7271</v>
      </c>
      <c r="N44" s="107">
        <f>-SUMIFS(lv!J:J,lv!$B:$B,"638")</f>
        <v>-2917</v>
      </c>
      <c r="O44" s="107">
        <f>-SUMIFS(lv!K:K,lv!$B:$B,"638")</f>
        <v>-8769</v>
      </c>
      <c r="P44" s="107">
        <f>-SUMIFS(lv!L:L,lv!$B:$B,"638")</f>
        <v>-5874</v>
      </c>
      <c r="Q44" s="94">
        <f>-SUMIFS(lv!M:M,lv!$B:$B,"638")</f>
        <v>0</v>
      </c>
      <c r="R44" s="94">
        <f>-SUMIFS(lv!N:N,lv!$B:$B,"638")</f>
        <v>0</v>
      </c>
      <c r="S44" s="94">
        <f>-SUMIFS(lv!O:O,lv!$B:$B,"638")</f>
        <v>0</v>
      </c>
      <c r="T44" s="92">
        <f t="shared" si="10"/>
        <v>-67134</v>
      </c>
    </row>
    <row r="45" spans="1:22" s="91" customFormat="1" x14ac:dyDescent="0.2">
      <c r="A45" s="106"/>
      <c r="C45" s="106" t="s">
        <v>38</v>
      </c>
      <c r="D45" s="106"/>
      <c r="E45" s="106"/>
      <c r="F45" s="106"/>
      <c r="G45" s="106"/>
      <c r="H45" s="107">
        <f>-SUMIFS(lv!D:D,lv!$B:$B,"641")</f>
        <v>-817345</v>
      </c>
      <c r="I45" s="107">
        <f>-SUMIFS(lv!E:E,lv!$B:$B,"641")</f>
        <v>-859239</v>
      </c>
      <c r="J45" s="107">
        <f>-SUMIFS(lv!F:F,lv!$B:$B,"641")</f>
        <v>-749009</v>
      </c>
      <c r="K45" s="107">
        <f>-SUMIFS(lv!G:G,lv!$B:$B,"641")</f>
        <v>-746011</v>
      </c>
      <c r="L45" s="107">
        <f>-SUMIFS(lv!H:H,lv!$B:$B,"641")</f>
        <v>-842110</v>
      </c>
      <c r="M45" s="107">
        <f>-SUMIFS(lv!I:I,lv!$B:$B,"641")</f>
        <v>-853705</v>
      </c>
      <c r="N45" s="107">
        <f>-SUMIFS(lv!J:J,lv!$B:$B,"641")</f>
        <v>-797884</v>
      </c>
      <c r="O45" s="107">
        <f>-SUMIFS(lv!K:K,lv!$B:$B,"641")</f>
        <v>-819196</v>
      </c>
      <c r="P45" s="107">
        <f>-SUMIFS(lv!L:L,lv!$B:$B,"641")</f>
        <v>-754746</v>
      </c>
      <c r="Q45" s="94">
        <v>-900000</v>
      </c>
      <c r="R45" s="94">
        <v>-900000</v>
      </c>
      <c r="S45" s="94">
        <v>-900000</v>
      </c>
      <c r="T45" s="92">
        <f t="shared" si="10"/>
        <v>-9939245</v>
      </c>
      <c r="V45" s="80"/>
    </row>
    <row r="46" spans="1:22" s="91" customFormat="1" x14ac:dyDescent="0.2">
      <c r="A46" s="106"/>
      <c r="C46" s="106" t="s">
        <v>39</v>
      </c>
      <c r="D46" s="106"/>
      <c r="E46" s="106"/>
      <c r="F46" s="106"/>
      <c r="G46" s="106"/>
      <c r="H46" s="107">
        <f>-SUMIFS(lv!D:D,lv!$B:$B,"644")</f>
        <v>-122701</v>
      </c>
      <c r="I46" s="107">
        <f>-SUMIFS(lv!E:E,lv!$B:$B,"644")</f>
        <v>-129704</v>
      </c>
      <c r="J46" s="107">
        <f>-SUMIFS(lv!F:F,lv!$B:$B,"644")</f>
        <v>-111295</v>
      </c>
      <c r="K46" s="107">
        <f>-SUMIFS(lv!G:G,lv!$B:$B,"644")</f>
        <v>-110789</v>
      </c>
      <c r="L46" s="107">
        <f>-SUMIFS(lv!H:H,lv!$B:$B,"644")</f>
        <v>-127993</v>
      </c>
      <c r="M46" s="107">
        <f>-SUMIFS(lv!I:I,lv!$B:$B,"644")</f>
        <v>-129929</v>
      </c>
      <c r="N46" s="107">
        <f>-SUMIFS(lv!J:J,lv!$B:$B,"644")</f>
        <v>-133247</v>
      </c>
      <c r="O46" s="107">
        <f>-SUMIFS(lv!K:K,lv!$B:$B,"644")</f>
        <v>-136806</v>
      </c>
      <c r="P46" s="107">
        <f>-SUMIFS(lv!L:L,lv!$B:$B,"644")</f>
        <v>-126043</v>
      </c>
      <c r="Q46" s="94">
        <f t="shared" ref="Q46:S46" si="14">+Q45*16.7%</f>
        <v>-150299.99999999997</v>
      </c>
      <c r="R46" s="94">
        <f t="shared" si="14"/>
        <v>-150299.99999999997</v>
      </c>
      <c r="S46" s="94">
        <f t="shared" si="14"/>
        <v>-150299.99999999997</v>
      </c>
      <c r="T46" s="92">
        <f t="shared" si="10"/>
        <v>-1579407</v>
      </c>
      <c r="V46" s="80"/>
    </row>
    <row r="47" spans="1:22" x14ac:dyDescent="0.2">
      <c r="C47" s="110" t="s">
        <v>27</v>
      </c>
      <c r="D47" s="110"/>
      <c r="E47" s="83"/>
      <c r="F47" s="83"/>
      <c r="G47" s="83"/>
      <c r="H47" s="107">
        <f>-SUMIFS(lv!D:D,lv!$B:$B,"654")</f>
        <v>0</v>
      </c>
      <c r="I47" s="107">
        <f>-SUMIFS(lv!E:E,lv!$B:$B,"654")</f>
        <v>0</v>
      </c>
      <c r="J47" s="107">
        <f>-SUMIFS(lv!F:F,lv!$B:$B,"654")</f>
        <v>-112583.91</v>
      </c>
      <c r="K47" s="107">
        <f>-SUMIFS(lv!G:G,lv!$B:$B,"654")</f>
        <v>-33622.47</v>
      </c>
      <c r="L47" s="107">
        <f>-SUMIFS(lv!H:H,lv!$B:$B,"654")</f>
        <v>-16102.8</v>
      </c>
      <c r="M47" s="107">
        <f>-SUMIFS(lv!I:I,lv!$B:$B,"654")</f>
        <v>-54790.254999999997</v>
      </c>
      <c r="N47" s="107">
        <f>-SUMIFS(lv!J:J,lv!$B:$B,"654")</f>
        <v>-19282.099999999999</v>
      </c>
      <c r="O47" s="107">
        <f>-SUMIFS(lv!K:K,lv!$B:$B,"654")</f>
        <v>0</v>
      </c>
      <c r="P47" s="107">
        <f>-SUMIFS(lv!L:L,lv!$B:$B,"654")</f>
        <v>-28812.35</v>
      </c>
      <c r="Q47" s="94"/>
      <c r="R47" s="94"/>
      <c r="S47" s="94"/>
      <c r="T47" s="92">
        <f t="shared" si="10"/>
        <v>-265193.88500000001</v>
      </c>
    </row>
    <row r="48" spans="1:22" s="91" customFormat="1" x14ac:dyDescent="0.2">
      <c r="C48" s="91" t="s">
        <v>40</v>
      </c>
      <c r="E48" s="109"/>
      <c r="F48" s="109"/>
      <c r="G48" s="109"/>
      <c r="H48" s="107">
        <f>-SUMIFS(lv!D:D,lv!$B:$B,"657")-SUMIFS(lv!D:D,lv!$B:$B,"658")</f>
        <v>0</v>
      </c>
      <c r="I48" s="107">
        <f>-SUMIFS(lv!E:E,lv!$B:$B,"657")-SUMIFS(lv!E:E,lv!$B:$B,"658")</f>
        <v>-40726</v>
      </c>
      <c r="J48" s="107">
        <f>-SUMIFS(lv!F:F,lv!$B:$B,"657")-SUMIFS(lv!F:F,lv!$B:$B,"658")</f>
        <v>-38768.199999999997</v>
      </c>
      <c r="K48" s="107">
        <f>-SUMIFS(lv!G:G,lv!$B:$B,"657")-SUMIFS(lv!G:G,lv!$B:$B,"658")</f>
        <v>-426912.8</v>
      </c>
      <c r="L48" s="107">
        <f>-SUMIFS(lv!H:H,lv!$B:$B,"657")-SUMIFS(lv!H:H,lv!$B:$B,"658")</f>
        <v>-30529.599999999999</v>
      </c>
      <c r="M48" s="107">
        <f>-SUMIFS(lv!I:I,lv!$B:$B,"657")-SUMIFS(lv!I:I,lv!$B:$B,"658")</f>
        <v>-29343.4</v>
      </c>
      <c r="N48" s="107">
        <f>-SUMIFS(lv!J:J,lv!$B:$B,"657")-SUMIFS(lv!J:J,lv!$B:$B,"658")</f>
        <v>0</v>
      </c>
      <c r="O48" s="107">
        <f>-SUMIFS(lv!K:K,lv!$B:$B,"657")-SUMIFS(lv!K:K,lv!$B:$B,"658")</f>
        <v>-44065.2</v>
      </c>
      <c r="P48" s="107">
        <f>-SUMIFS(lv!L:L,lv!$B:$B,"657")-SUMIFS(lv!L:L,lv!$B:$B,"658")</f>
        <v>-56280</v>
      </c>
      <c r="Q48" s="94">
        <f>-SUMIFS(lv!M:M,lv!$B:$B,"658")</f>
        <v>0</v>
      </c>
      <c r="R48" s="94">
        <f>-SUMIFS(lv!N:N,lv!$B:$B,"658")</f>
        <v>0</v>
      </c>
      <c r="S48" s="94">
        <f>-SUMIFS(lv!O:O,lv!$B:$B,"658")</f>
        <v>0</v>
      </c>
      <c r="T48" s="92">
        <f t="shared" si="10"/>
        <v>-666625.19999999995</v>
      </c>
      <c r="V48" s="80"/>
    </row>
    <row r="49" spans="2:22" s="91" customFormat="1" x14ac:dyDescent="0.2">
      <c r="C49" s="91" t="s">
        <v>128</v>
      </c>
      <c r="E49" s="109"/>
      <c r="F49" s="109"/>
      <c r="G49" s="109"/>
      <c r="H49" s="107">
        <f>-SUMIFS(lv!D:D,lv!$B:$B,"667")</f>
        <v>-162258.71</v>
      </c>
      <c r="I49" s="107">
        <f>-SUMIFS(lv!E:E,lv!$B:$B,"667")</f>
        <v>-176034.76</v>
      </c>
      <c r="J49" s="107">
        <f>-SUMIFS(lv!F:F,lv!$B:$B,"667")</f>
        <v>-78.58</v>
      </c>
      <c r="K49" s="107">
        <f>-SUMIFS(lv!G:G,lv!$B:$B,"667")</f>
        <v>-376875.82</v>
      </c>
      <c r="L49" s="107">
        <f>-SUMIFS(lv!H:H,lv!$B:$B,"667")</f>
        <v>-200929.06</v>
      </c>
      <c r="M49" s="107">
        <f>-SUMIFS(lv!I:I,lv!$B:$B,"667")</f>
        <v>-229120.32</v>
      </c>
      <c r="N49" s="107">
        <f>-SUMIFS(lv!J:J,lv!$B:$B,"667")</f>
        <v>-261450.77</v>
      </c>
      <c r="O49" s="107">
        <f>-SUMIFS(lv!K:K,lv!$B:$B,"667")</f>
        <v>-25247.11</v>
      </c>
      <c r="P49" s="107">
        <f>-SUMIFS(lv!L:L,lv!$B:$B,"667")</f>
        <v>-26199.360000000001</v>
      </c>
      <c r="Q49" s="94">
        <v>-190000</v>
      </c>
      <c r="R49" s="94">
        <v>-190000</v>
      </c>
      <c r="S49" s="94">
        <v>-190000</v>
      </c>
      <c r="T49" s="92">
        <f t="shared" si="10"/>
        <v>-2028194.4900000002</v>
      </c>
      <c r="V49" s="80"/>
    </row>
    <row r="50" spans="2:22" s="91" customFormat="1" x14ac:dyDescent="0.2">
      <c r="C50" s="91" t="s">
        <v>212</v>
      </c>
      <c r="E50" s="109"/>
      <c r="F50" s="109"/>
      <c r="G50" s="109"/>
      <c r="H50" s="107">
        <f>-SUMIFS(lv!D:D,lv!$B:$B,"669")</f>
        <v>-7589.88</v>
      </c>
      <c r="I50" s="107">
        <f>-SUMIFS(lv!E:E,lv!$B:$B,"669")</f>
        <v>-4485</v>
      </c>
      <c r="J50" s="107">
        <f>-SUMIFS(lv!F:F,lv!$B:$B,"669")</f>
        <v>-4485</v>
      </c>
      <c r="K50" s="107">
        <f>-SUMIFS(lv!G:G,lv!$B:$B,"669")</f>
        <v>-4485</v>
      </c>
      <c r="L50" s="107">
        <f>-SUMIFS(lv!H:H,lv!$B:$B,"669")</f>
        <v>-11741.8</v>
      </c>
      <c r="M50" s="107">
        <f>-SUMIFS(lv!I:I,lv!$B:$B,"669")</f>
        <v>-415456</v>
      </c>
      <c r="N50" s="107">
        <f>-SUMIFS(lv!J:J,lv!$B:$B,"669")</f>
        <v>-5110.7</v>
      </c>
      <c r="O50" s="107">
        <f>-SUMIFS(lv!K:K,lv!$B:$B,"669")</f>
        <v>-4473.54</v>
      </c>
      <c r="P50" s="107">
        <f>-SUMIFS(lv!L:L,lv!$B:$B,"669")</f>
        <v>-6.2</v>
      </c>
      <c r="Q50" s="94"/>
      <c r="R50" s="94"/>
      <c r="S50" s="94"/>
      <c r="T50" s="92">
        <f t="shared" si="10"/>
        <v>-457833.12</v>
      </c>
      <c r="V50" s="80"/>
    </row>
    <row r="51" spans="2:22" x14ac:dyDescent="0.2">
      <c r="C51" s="110" t="s">
        <v>41</v>
      </c>
      <c r="D51" s="110"/>
      <c r="E51" s="83"/>
      <c r="F51" s="83"/>
      <c r="G51" s="83"/>
      <c r="H51" s="107">
        <v>-140000</v>
      </c>
      <c r="I51" s="107">
        <v>-140000</v>
      </c>
      <c r="J51" s="107">
        <v>-140000</v>
      </c>
      <c r="K51" s="107">
        <v>-140000</v>
      </c>
      <c r="L51" s="107">
        <v>-140000</v>
      </c>
      <c r="M51" s="107">
        <v>-140000</v>
      </c>
      <c r="N51" s="107">
        <v>-140000</v>
      </c>
      <c r="O51" s="107">
        <v>-140000</v>
      </c>
      <c r="P51" s="107">
        <v>-140000</v>
      </c>
      <c r="Q51" s="94">
        <v>-140000</v>
      </c>
      <c r="R51" s="94">
        <v>-140000</v>
      </c>
      <c r="S51" s="94">
        <v>-140000</v>
      </c>
      <c r="T51" s="92">
        <f t="shared" si="10"/>
        <v>-1680000</v>
      </c>
    </row>
    <row r="52" spans="2:22" x14ac:dyDescent="0.2">
      <c r="C52" s="110" t="s">
        <v>28</v>
      </c>
      <c r="D52" s="110"/>
      <c r="E52" s="83"/>
      <c r="F52" s="83"/>
      <c r="G52" s="83"/>
      <c r="H52" s="107"/>
      <c r="I52" s="107"/>
      <c r="J52" s="107"/>
      <c r="K52" s="107"/>
      <c r="L52" s="107"/>
      <c r="M52" s="107"/>
      <c r="N52" s="107"/>
      <c r="O52" s="107"/>
      <c r="P52" s="107"/>
      <c r="Q52" s="94"/>
      <c r="R52" s="94"/>
      <c r="S52" s="94"/>
      <c r="T52" s="92">
        <f t="shared" si="10"/>
        <v>0</v>
      </c>
    </row>
    <row r="53" spans="2:22" x14ac:dyDescent="0.2">
      <c r="T53" s="83"/>
    </row>
    <row r="54" spans="2:22" s="83" customFormat="1" x14ac:dyDescent="0.2">
      <c r="B54" s="111" t="s">
        <v>29</v>
      </c>
      <c r="C54" s="111"/>
      <c r="D54" s="111"/>
      <c r="E54" s="111"/>
      <c r="F54" s="111"/>
      <c r="G54" s="111"/>
      <c r="H54" s="112">
        <f>SUM(H24:H53)</f>
        <v>-3101757.7239999999</v>
      </c>
      <c r="I54" s="112">
        <f t="shared" ref="I54:S54" si="15">SUM(I24:I53)</f>
        <v>-1925802.7749999999</v>
      </c>
      <c r="J54" s="112">
        <f t="shared" si="15"/>
        <v>-4253896.3150000004</v>
      </c>
      <c r="K54" s="112">
        <f t="shared" si="15"/>
        <v>-5110924.3000000007</v>
      </c>
      <c r="L54" s="112">
        <f t="shared" si="15"/>
        <v>-4143126.0861999998</v>
      </c>
      <c r="M54" s="112">
        <f t="shared" si="15"/>
        <v>-7955371.4884000011</v>
      </c>
      <c r="N54" s="112">
        <f t="shared" si="15"/>
        <v>-4423856.45</v>
      </c>
      <c r="O54" s="112">
        <f t="shared" si="15"/>
        <v>-2775918.11</v>
      </c>
      <c r="P54" s="112">
        <f t="shared" si="15"/>
        <v>-3158748.99</v>
      </c>
      <c r="Q54" s="112">
        <f t="shared" si="15"/>
        <v>-2765800</v>
      </c>
      <c r="R54" s="112">
        <f t="shared" si="15"/>
        <v>-2765800</v>
      </c>
      <c r="S54" s="112">
        <f t="shared" si="15"/>
        <v>-2765800</v>
      </c>
      <c r="T54" s="112">
        <f>SUM(T24:T53)</f>
        <v>-45146802.238600001</v>
      </c>
      <c r="V54" s="84"/>
    </row>
    <row r="55" spans="2:22" x14ac:dyDescent="0.2">
      <c r="T55" s="83"/>
    </row>
    <row r="56" spans="2:22" x14ac:dyDescent="0.2">
      <c r="B56" s="113" t="s">
        <v>30</v>
      </c>
      <c r="C56" s="113"/>
      <c r="D56" s="113"/>
      <c r="E56" s="113"/>
      <c r="F56" s="113"/>
      <c r="G56" s="113"/>
      <c r="H56" s="114">
        <f>+H14+H17+H19+H54</f>
        <v>-1431687.4134000004</v>
      </c>
      <c r="I56" s="114">
        <f t="shared" ref="I56:R56" si="16">+I14+I17+I19+I54</f>
        <v>1692410.6550000007</v>
      </c>
      <c r="J56" s="114">
        <f t="shared" si="16"/>
        <v>-2059349.3590000011</v>
      </c>
      <c r="K56" s="114">
        <f t="shared" si="16"/>
        <v>-3552294.2000000007</v>
      </c>
      <c r="L56" s="114">
        <f t="shared" si="16"/>
        <v>-2306935.2331999997</v>
      </c>
      <c r="M56" s="114">
        <f t="shared" si="16"/>
        <v>-2981921.1114000026</v>
      </c>
      <c r="N56" s="114">
        <f t="shared" si="16"/>
        <v>-1716597.9172</v>
      </c>
      <c r="O56" s="114">
        <f t="shared" si="16"/>
        <v>1263317.1870000004</v>
      </c>
      <c r="P56" s="114">
        <f>+P14+P17+P19+P54</f>
        <v>1624274.7029999979</v>
      </c>
      <c r="Q56" s="114">
        <f t="shared" si="16"/>
        <v>5634200</v>
      </c>
      <c r="R56" s="114">
        <f t="shared" si="16"/>
        <v>7134200</v>
      </c>
      <c r="S56" s="114">
        <f>+S14+S17+S19+S54</f>
        <v>8634200</v>
      </c>
      <c r="T56" s="114">
        <f>+T14+T17+T19+T54</f>
        <v>11933817.310800001</v>
      </c>
    </row>
    <row r="58" spans="2:22" x14ac:dyDescent="0.2">
      <c r="B58" s="113" t="s">
        <v>30</v>
      </c>
      <c r="C58" s="113"/>
      <c r="D58" s="113"/>
      <c r="E58" s="113"/>
      <c r="F58" s="113"/>
      <c r="G58" s="113" t="s">
        <v>44</v>
      </c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5">
        <f>+T56/T14</f>
        <v>8.7626603681407386E-2</v>
      </c>
      <c r="V58" s="80" t="s">
        <v>171</v>
      </c>
    </row>
    <row r="60" spans="2:22" s="116" customFormat="1" x14ac:dyDescent="0.2">
      <c r="C60" s="116" t="s">
        <v>42</v>
      </c>
      <c r="T60" s="117">
        <f>90501*3+1+118867*9</f>
        <v>1341307</v>
      </c>
      <c r="V60" s="80"/>
    </row>
    <row r="61" spans="2:22" s="118" customFormat="1" x14ac:dyDescent="0.2">
      <c r="C61" s="118" t="s">
        <v>43</v>
      </c>
      <c r="T61" s="119">
        <f>+T56*15%-T60</f>
        <v>448765.5966200002</v>
      </c>
      <c r="V61" s="80"/>
    </row>
    <row r="63" spans="2:22" s="116" customFormat="1" x14ac:dyDescent="0.2">
      <c r="T63" s="120"/>
      <c r="V63" s="80"/>
    </row>
    <row r="64" spans="2:22" s="116" customFormat="1" x14ac:dyDescent="0.2"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T64" s="120"/>
      <c r="V64" s="80"/>
    </row>
    <row r="66" spans="8:14" x14ac:dyDescent="0.2">
      <c r="H66" s="102"/>
      <c r="I66" s="102"/>
      <c r="J66" s="102"/>
      <c r="K66" s="102"/>
      <c r="L66" s="102"/>
      <c r="M66" s="102"/>
      <c r="N66" s="102"/>
    </row>
    <row r="69" spans="8:14" x14ac:dyDescent="0.2">
      <c r="K69" s="102"/>
    </row>
  </sheetData>
  <mergeCells count="1">
    <mergeCell ref="H2:T2"/>
  </mergeCells>
  <printOptions horizontalCentered="1"/>
  <pageMargins left="0" right="0" top="0" bottom="0" header="0.3" footer="0.3"/>
  <pageSetup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249977111117893"/>
  </sheetPr>
  <dimension ref="A1:U59"/>
  <sheetViews>
    <sheetView zoomScale="80" zoomScaleNormal="80" workbookViewId="0">
      <selection activeCell="R50" sqref="R50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16" width="12.7109375" style="2" customWidth="1"/>
    <col min="17" max="16384" width="9.140625" style="2"/>
  </cols>
  <sheetData>
    <row r="1" spans="2:16" x14ac:dyDescent="0.2">
      <c r="B1" s="1"/>
      <c r="C1" s="1"/>
      <c r="D1" s="1"/>
      <c r="E1" s="1"/>
    </row>
    <row r="2" spans="2:16" x14ac:dyDescent="0.2">
      <c r="B2" s="3" t="s">
        <v>47</v>
      </c>
      <c r="C2" s="3"/>
      <c r="D2" s="3"/>
      <c r="E2" s="3"/>
    </row>
    <row r="3" spans="2:16" x14ac:dyDescent="0.2">
      <c r="B3" s="69"/>
      <c r="C3" s="69"/>
      <c r="D3" s="69"/>
      <c r="E3" s="69"/>
    </row>
    <row r="4" spans="2:16" x14ac:dyDescent="0.2">
      <c r="B4" s="4"/>
      <c r="C4" s="5" t="s">
        <v>48</v>
      </c>
      <c r="D4" s="5"/>
      <c r="E4" s="6">
        <v>42735</v>
      </c>
      <c r="F4" s="4"/>
    </row>
    <row r="5" spans="2:16" x14ac:dyDescent="0.2">
      <c r="C5" s="5" t="s">
        <v>49</v>
      </c>
      <c r="D5" s="5"/>
      <c r="E5" s="41">
        <v>562919.85964000213</v>
      </c>
      <c r="F5" s="7">
        <f>+E41</f>
        <v>-11024499.930639997</v>
      </c>
      <c r="G5" s="7">
        <f t="shared" ref="G5:P5" si="0">+F41</f>
        <v>-20831940.839639992</v>
      </c>
      <c r="H5" s="7">
        <f t="shared" si="0"/>
        <v>-22846101.156939991</v>
      </c>
      <c r="I5" s="7">
        <f t="shared" si="0"/>
        <v>-31364597.934939992</v>
      </c>
      <c r="J5" s="7">
        <f t="shared" si="0"/>
        <v>-42013215.06533999</v>
      </c>
      <c r="K5" s="7">
        <f t="shared" si="0"/>
        <v>-32810540.933139995</v>
      </c>
      <c r="L5" s="7">
        <f t="shared" si="0"/>
        <v>-45774241.986779995</v>
      </c>
      <c r="M5" s="7">
        <f t="shared" si="0"/>
        <v>-37899546.104379997</v>
      </c>
      <c r="N5" s="7">
        <f t="shared" si="0"/>
        <v>-31199083.016379997</v>
      </c>
      <c r="O5" s="7">
        <f t="shared" si="0"/>
        <v>-26093750.016379997</v>
      </c>
      <c r="P5" s="7">
        <f t="shared" si="0"/>
        <v>-18988417.016379997</v>
      </c>
    </row>
    <row r="7" spans="2:16" x14ac:dyDescent="0.2">
      <c r="B7" s="68" t="s">
        <v>50</v>
      </c>
      <c r="C7" s="68"/>
      <c r="D7" s="8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6" x14ac:dyDescent="0.2">
      <c r="B8" s="70" t="s">
        <v>51</v>
      </c>
      <c r="C8" s="70"/>
      <c r="D8" s="10"/>
      <c r="E8" s="7">
        <f>+'P&amp;L'!H14*1.2</f>
        <v>4509492.4236000003</v>
      </c>
      <c r="F8" s="7">
        <f>+'P&amp;L'!I14*1.2</f>
        <v>5360073.9479999999</v>
      </c>
      <c r="G8" s="7">
        <f>+'P&amp;L'!J14*1.2</f>
        <v>3892944.0239999993</v>
      </c>
      <c r="H8" s="7">
        <f>+'P&amp;L'!K14*1.2</f>
        <v>2051187.2279999999</v>
      </c>
      <c r="I8" s="7">
        <f>+'P&amp;L'!L14*1.2</f>
        <v>3662333.0903999996</v>
      </c>
      <c r="J8" s="7">
        <f>+'P&amp;L'!M14*1.2</f>
        <v>18216189.935999997</v>
      </c>
      <c r="K8" s="7">
        <f>+'P&amp;L'!N14*1.2</f>
        <v>5768653.2309599994</v>
      </c>
      <c r="L8" s="7">
        <f>+'P&amp;L'!O14*1.2</f>
        <v>17575506.756000001</v>
      </c>
      <c r="M8" s="7">
        <f>+'P&amp;L'!P14*1.2</f>
        <v>12390936.767999997</v>
      </c>
      <c r="N8" s="7">
        <f>+'P&amp;L'!Q14*1.2</f>
        <v>18000000</v>
      </c>
      <c r="O8" s="7">
        <f>+'P&amp;L'!R14*1.2</f>
        <v>30000000</v>
      </c>
      <c r="P8" s="7">
        <f>+'P&amp;L'!S14*1.2</f>
        <v>42000000</v>
      </c>
    </row>
    <row r="9" spans="2:16" x14ac:dyDescent="0.2">
      <c r="B9" s="71" t="s">
        <v>52</v>
      </c>
      <c r="C9" s="7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2:16" x14ac:dyDescent="0.2">
      <c r="C10" s="13" t="s">
        <v>53</v>
      </c>
      <c r="D10" s="13"/>
      <c r="E10" s="7">
        <f>-Inventories!E9*1.2</f>
        <v>-15920183.246879999</v>
      </c>
      <c r="F10" s="7">
        <f>-Inventories!F9*1.2</f>
        <v>-48070740.611999996</v>
      </c>
      <c r="G10" s="7">
        <f>-Inventories!G9*1.2</f>
        <v>-2535619.2108</v>
      </c>
      <c r="H10" s="7">
        <f>-Inventories!H9*1.2</f>
        <v>-16833066.035999998</v>
      </c>
      <c r="I10" s="7">
        <f>-Inventories!I9*1.2</f>
        <v>-5539992.051599999</v>
      </c>
      <c r="J10" s="7">
        <f>-Inventories!J9*1.2</f>
        <v>-7843312.7183999997</v>
      </c>
      <c r="K10" s="7">
        <f>-Inventories!K9*1.2</f>
        <v>-1801850.3676</v>
      </c>
      <c r="L10" s="7">
        <f>-Inventories!L9*1.2</f>
        <v>-4186045.7015999998</v>
      </c>
      <c r="M10" s="7">
        <f>-Inventories!M9*1.2</f>
        <v>-2231646.2999999998</v>
      </c>
      <c r="N10" s="7">
        <f>-Inventories!N9*1.2</f>
        <v>-16200000</v>
      </c>
      <c r="O10" s="7">
        <f>-Inventories!O9*1.2</f>
        <v>-16200000</v>
      </c>
      <c r="P10" s="7">
        <f>-Inventories!P9*1.2</f>
        <v>-16200000</v>
      </c>
    </row>
    <row r="11" spans="2:16" x14ac:dyDescent="0.2">
      <c r="C11" s="13" t="s">
        <v>54</v>
      </c>
      <c r="D11" s="13"/>
      <c r="E11" s="7">
        <f>+'P&amp;L'!H54-'P&amp;L'!H45-'P&amp;L'!H46-'P&amp;L'!H51</f>
        <v>-2021711.7239999999</v>
      </c>
      <c r="F11" s="7">
        <f>+'P&amp;L'!I54-'P&amp;L'!I45-'P&amp;L'!I46-'P&amp;L'!I51</f>
        <v>-796859.77499999991</v>
      </c>
      <c r="G11" s="7">
        <f>+'P&amp;L'!J54-'P&amp;L'!J45-'P&amp;L'!J46-'P&amp;L'!J51</f>
        <v>-3253592.3150000004</v>
      </c>
      <c r="H11" s="7">
        <f>+'P&amp;L'!K54-'P&amp;L'!K45-'P&amp;L'!K46-'P&amp;L'!K51</f>
        <v>-4114124.3000000007</v>
      </c>
      <c r="I11" s="7">
        <f>+'P&amp;L'!L54-'P&amp;L'!L45-'P&amp;L'!L46-'P&amp;L'!L51</f>
        <v>-3033023.0861999998</v>
      </c>
      <c r="J11" s="7">
        <f>+'P&amp;L'!M54-'P&amp;L'!M45-'P&amp;L'!M46-'P&amp;L'!M51</f>
        <v>-6831737.4884000011</v>
      </c>
      <c r="K11" s="7">
        <f>+'P&amp;L'!N54-'P&amp;L'!N45-'P&amp;L'!N46-'P&amp;L'!N51</f>
        <v>-3352725.45</v>
      </c>
      <c r="L11" s="7">
        <f>+'P&amp;L'!O54-'P&amp;L'!O45-'P&amp;L'!O46-'P&amp;L'!O51</f>
        <v>-1679916.1099999999</v>
      </c>
      <c r="M11" s="7">
        <f>+'P&amp;L'!P54-'P&amp;L'!P45-'P&amp;L'!P46-'P&amp;L'!P51</f>
        <v>-2137959.9900000002</v>
      </c>
      <c r="N11" s="7">
        <f>+'P&amp;L'!Q54-'P&amp;L'!Q45-'P&amp;L'!Q46-'P&amp;L'!Q51</f>
        <v>-1575500</v>
      </c>
      <c r="O11" s="7">
        <f>+'P&amp;L'!R54-'P&amp;L'!R45-'P&amp;L'!R46-'P&amp;L'!R51</f>
        <v>-1575500</v>
      </c>
      <c r="P11" s="7">
        <f>+'P&amp;L'!S54-'P&amp;L'!S45-'P&amp;L'!S46-'P&amp;L'!S51</f>
        <v>-1575500</v>
      </c>
    </row>
    <row r="12" spans="2:16" x14ac:dyDescent="0.2">
      <c r="C12" s="13" t="s">
        <v>55</v>
      </c>
      <c r="D12" s="13"/>
      <c r="E12" s="7">
        <f>+'P&amp;L'!H45+'P&amp;L'!H46</f>
        <v>-940046</v>
      </c>
      <c r="F12" s="7">
        <f>+'P&amp;L'!I45+'P&amp;L'!I46</f>
        <v>-988943</v>
      </c>
      <c r="G12" s="7">
        <f>+'P&amp;L'!J45+'P&amp;L'!J46</f>
        <v>-860304</v>
      </c>
      <c r="H12" s="7">
        <f>+'P&amp;L'!K45+'P&amp;L'!K46</f>
        <v>-856800</v>
      </c>
      <c r="I12" s="7">
        <f>+'P&amp;L'!L45+'P&amp;L'!L46</f>
        <v>-970103</v>
      </c>
      <c r="J12" s="7">
        <f>+'P&amp;L'!M45+'P&amp;L'!M46</f>
        <v>-983634</v>
      </c>
      <c r="K12" s="7">
        <f>+'P&amp;L'!N45+'P&amp;L'!N46</f>
        <v>-931131</v>
      </c>
      <c r="L12" s="7">
        <f>+'P&amp;L'!O45+'P&amp;L'!O46</f>
        <v>-956002</v>
      </c>
      <c r="M12" s="7">
        <f>+'P&amp;L'!P45+'P&amp;L'!P46</f>
        <v>-880789</v>
      </c>
      <c r="N12" s="7">
        <f>+'P&amp;L'!Q45+'P&amp;L'!Q46</f>
        <v>-1050300</v>
      </c>
      <c r="O12" s="7">
        <f>+'P&amp;L'!R45+'P&amp;L'!R46</f>
        <v>-1050300</v>
      </c>
      <c r="P12" s="7">
        <f>+'P&amp;L'!S45+'P&amp;L'!S46</f>
        <v>-1050300</v>
      </c>
    </row>
    <row r="13" spans="2:16" hidden="1" x14ac:dyDescent="0.2">
      <c r="C13" s="13" t="s">
        <v>56</v>
      </c>
      <c r="D13" s="1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2:16" x14ac:dyDescent="0.2">
      <c r="C14" s="13" t="s">
        <v>57</v>
      </c>
      <c r="D14" s="13"/>
      <c r="E14" s="7">
        <v>-90501</v>
      </c>
      <c r="F14" s="7">
        <v>-90501</v>
      </c>
      <c r="G14" s="7">
        <v>-90501</v>
      </c>
      <c r="H14" s="7">
        <v>-118867</v>
      </c>
      <c r="I14" s="7">
        <v>-118867</v>
      </c>
      <c r="J14" s="7">
        <v>-118867</v>
      </c>
      <c r="K14" s="7">
        <v>-118867</v>
      </c>
      <c r="L14" s="7">
        <v>-118867</v>
      </c>
      <c r="M14" s="7">
        <v>-118867</v>
      </c>
      <c r="N14" s="7">
        <v>-118867</v>
      </c>
      <c r="O14" s="7">
        <v>-118867</v>
      </c>
      <c r="P14" s="7">
        <v>-118867</v>
      </c>
    </row>
    <row r="15" spans="2:16" x14ac:dyDescent="0.2">
      <c r="B15" s="72" t="s">
        <v>58</v>
      </c>
      <c r="C15" s="72"/>
      <c r="D15" s="14"/>
      <c r="E15" s="15">
        <f>SUM(E8:E14)</f>
        <v>-14462949.547279999</v>
      </c>
      <c r="F15" s="15">
        <f>SUM(F8:F14)</f>
        <v>-44586970.438999996</v>
      </c>
      <c r="G15" s="15">
        <f t="shared" ref="G15:P15" si="1">SUM(G8:G14)</f>
        <v>-2847072.5018000011</v>
      </c>
      <c r="H15" s="15">
        <f t="shared" si="1"/>
        <v>-19871670.107999999</v>
      </c>
      <c r="I15" s="15">
        <f t="shared" si="1"/>
        <v>-5999652.0473999996</v>
      </c>
      <c r="J15" s="15">
        <f t="shared" si="1"/>
        <v>2438638.7291999962</v>
      </c>
      <c r="K15" s="15">
        <f t="shared" si="1"/>
        <v>-435920.58664000081</v>
      </c>
      <c r="L15" s="15">
        <f t="shared" si="1"/>
        <v>10634675.944400001</v>
      </c>
      <c r="M15" s="15">
        <f t="shared" si="1"/>
        <v>7021674.4779999983</v>
      </c>
      <c r="N15" s="15">
        <f t="shared" si="1"/>
        <v>-944667</v>
      </c>
      <c r="O15" s="15">
        <f t="shared" si="1"/>
        <v>11055333</v>
      </c>
      <c r="P15" s="15">
        <f t="shared" si="1"/>
        <v>23055333</v>
      </c>
    </row>
    <row r="17" spans="1:18" x14ac:dyDescent="0.2">
      <c r="A17" s="16" t="s">
        <v>59</v>
      </c>
      <c r="B17" s="68" t="s">
        <v>60</v>
      </c>
      <c r="C17" s="68"/>
      <c r="D17" s="8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8" spans="1:18" x14ac:dyDescent="0.2">
      <c r="B18" s="71" t="s">
        <v>61</v>
      </c>
      <c r="C18" s="71"/>
      <c r="D18" s="11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spans="1:18" x14ac:dyDescent="0.2">
      <c r="C19" s="18" t="s">
        <v>62</v>
      </c>
      <c r="D19" s="18"/>
      <c r="E19" s="7">
        <v>1E-3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R19" s="2">
        <v>2</v>
      </c>
    </row>
    <row r="20" spans="1:18" x14ac:dyDescent="0.2">
      <c r="C20" s="18" t="s">
        <v>63</v>
      </c>
      <c r="D20" s="1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8" hidden="1" x14ac:dyDescent="0.2">
      <c r="C21" s="18" t="s">
        <v>64</v>
      </c>
      <c r="D21" s="18"/>
      <c r="E21" s="7">
        <v>1E-3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8" x14ac:dyDescent="0.2">
      <c r="B22" s="71" t="s">
        <v>52</v>
      </c>
      <c r="C22" s="71"/>
      <c r="D22" s="11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  <row r="23" spans="1:18" x14ac:dyDescent="0.2">
      <c r="C23" s="18" t="s">
        <v>65</v>
      </c>
      <c r="D23" s="18"/>
      <c r="E23" s="7">
        <f>-lv!D2-lv!D4-lv!D5-lv!D6</f>
        <v>-116450</v>
      </c>
      <c r="F23" s="7">
        <f>-lv!E2-lv!E4-lv!E5-lv!E6</f>
        <v>-89640</v>
      </c>
      <c r="G23" s="7">
        <f>-lv!F2-lv!F4-lv!F5-lv!F6</f>
        <v>-436262.27500000002</v>
      </c>
      <c r="H23" s="7">
        <f>-lv!G2-lv!G4-lv!G5-lv!G6</f>
        <v>-39916.67</v>
      </c>
      <c r="I23" s="7"/>
      <c r="J23" s="7"/>
      <c r="K23" s="7"/>
      <c r="L23" s="7"/>
      <c r="M23" s="7"/>
      <c r="N23" s="7"/>
      <c r="O23" s="7"/>
      <c r="P23" s="7"/>
      <c r="R23" s="2">
        <v>2</v>
      </c>
    </row>
    <row r="24" spans="1:18" x14ac:dyDescent="0.2">
      <c r="C24" s="18" t="s">
        <v>66</v>
      </c>
      <c r="D24" s="18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8" hidden="1" x14ac:dyDescent="0.2">
      <c r="C25" s="18" t="s">
        <v>67</v>
      </c>
      <c r="D25" s="18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8" x14ac:dyDescent="0.2">
      <c r="B26" s="73" t="s">
        <v>68</v>
      </c>
      <c r="C26" s="73"/>
      <c r="D26" s="19"/>
      <c r="E26" s="15">
        <f>SUM(E18:E25)</f>
        <v>-116449.99800000001</v>
      </c>
      <c r="F26" s="15">
        <f>SUM(F18:F25)</f>
        <v>-89640</v>
      </c>
      <c r="G26" s="15">
        <f t="shared" ref="G26:P26" si="2">SUM(G18:G25)</f>
        <v>-436262.27500000002</v>
      </c>
      <c r="H26" s="15">
        <f t="shared" si="2"/>
        <v>-39916.67</v>
      </c>
      <c r="I26" s="15">
        <f t="shared" si="2"/>
        <v>0</v>
      </c>
      <c r="J26" s="15">
        <f t="shared" si="2"/>
        <v>0</v>
      </c>
      <c r="K26" s="15">
        <f t="shared" si="2"/>
        <v>0</v>
      </c>
      <c r="L26" s="15">
        <f t="shared" si="2"/>
        <v>0</v>
      </c>
      <c r="M26" s="15">
        <f t="shared" si="2"/>
        <v>0</v>
      </c>
      <c r="N26" s="15">
        <f t="shared" si="2"/>
        <v>0</v>
      </c>
      <c r="O26" s="15">
        <f t="shared" si="2"/>
        <v>0</v>
      </c>
      <c r="P26" s="15">
        <f t="shared" si="2"/>
        <v>0</v>
      </c>
    </row>
    <row r="27" spans="1:18" x14ac:dyDescent="0.2">
      <c r="B27" s="16" t="s">
        <v>59</v>
      </c>
    </row>
    <row r="28" spans="1:18" x14ac:dyDescent="0.2">
      <c r="B28" s="68" t="s">
        <v>69</v>
      </c>
      <c r="C28" s="68"/>
      <c r="D28" s="8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</row>
    <row r="29" spans="1:18" x14ac:dyDescent="0.2">
      <c r="B29" s="71" t="s">
        <v>61</v>
      </c>
      <c r="C29" s="71"/>
      <c r="D29" s="11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</row>
    <row r="30" spans="1:18" x14ac:dyDescent="0.2">
      <c r="C30" s="18" t="s">
        <v>70</v>
      </c>
      <c r="D30" s="18"/>
      <c r="E30" s="7">
        <f>-lv!D10</f>
        <v>1941979.7549999999</v>
      </c>
      <c r="F30" s="7">
        <f>-lv!E10</f>
        <v>33819169.530000001</v>
      </c>
      <c r="G30" s="7">
        <f>-lv!F10</f>
        <v>219174.4595</v>
      </c>
      <c r="H30" s="7">
        <f>-lv!G10</f>
        <v>10343090</v>
      </c>
      <c r="I30" s="7">
        <f>-lv!H10</f>
        <v>-5698965.0829999996</v>
      </c>
      <c r="J30" s="7">
        <f>-lv!I10</f>
        <v>6714035.4029999999</v>
      </c>
      <c r="K30" s="7">
        <f>-lv!J10</f>
        <v>-8577780.4670000002</v>
      </c>
      <c r="L30" s="7">
        <f>-lv!K10</f>
        <v>1190019.9380000001</v>
      </c>
      <c r="M30" s="7">
        <f>-lv!L10</f>
        <v>3628788.61</v>
      </c>
      <c r="N30" s="7"/>
      <c r="O30" s="7"/>
      <c r="P30" s="7"/>
    </row>
    <row r="31" spans="1:18" x14ac:dyDescent="0.2">
      <c r="C31" s="18" t="s">
        <v>175</v>
      </c>
      <c r="D31" s="18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8" x14ac:dyDescent="0.2">
      <c r="C32" s="18" t="s">
        <v>71</v>
      </c>
      <c r="D32" s="18"/>
      <c r="E32" s="7">
        <v>5000000</v>
      </c>
      <c r="F32" s="7">
        <v>5000000</v>
      </c>
      <c r="G32" s="7">
        <v>5000000</v>
      </c>
      <c r="H32" s="7">
        <v>5000000</v>
      </c>
      <c r="I32" s="7">
        <v>5000000</v>
      </c>
      <c r="J32" s="7">
        <v>4000000</v>
      </c>
      <c r="K32" s="7"/>
      <c r="L32" s="7"/>
      <c r="M32" s="7"/>
      <c r="N32" s="7">
        <v>10000000</v>
      </c>
      <c r="O32" s="7"/>
      <c r="P32" s="7"/>
    </row>
    <row r="33" spans="2:21" x14ac:dyDescent="0.2">
      <c r="B33" s="71" t="s">
        <v>52</v>
      </c>
      <c r="C33" s="71"/>
      <c r="D33" s="11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</row>
    <row r="34" spans="2:21" x14ac:dyDescent="0.2">
      <c r="C34" s="18" t="s">
        <v>174</v>
      </c>
      <c r="D34" s="18"/>
      <c r="E34" s="7">
        <v>-3500000</v>
      </c>
      <c r="F34" s="7">
        <v>-3500000</v>
      </c>
      <c r="G34" s="7">
        <v>-3500000</v>
      </c>
      <c r="H34" s="7">
        <v>-3500000</v>
      </c>
      <c r="I34" s="7">
        <v>-3500000</v>
      </c>
      <c r="J34" s="7">
        <v>-3500000</v>
      </c>
      <c r="K34" s="7">
        <v>-3500000</v>
      </c>
      <c r="L34" s="7">
        <v>-3500000</v>
      </c>
      <c r="M34" s="7">
        <v>-3500000</v>
      </c>
      <c r="N34" s="7">
        <v>-3500000</v>
      </c>
      <c r="O34" s="7">
        <v>-3500000</v>
      </c>
      <c r="P34" s="7">
        <v>-3500000</v>
      </c>
    </row>
    <row r="35" spans="2:21" x14ac:dyDescent="0.2">
      <c r="C35" s="18" t="s">
        <v>72</v>
      </c>
      <c r="D35" s="18"/>
      <c r="E35" s="7">
        <v>-450000</v>
      </c>
      <c r="F35" s="7">
        <v>-450000</v>
      </c>
      <c r="G35" s="7">
        <v>-450000</v>
      </c>
      <c r="H35" s="7">
        <v>-450000</v>
      </c>
      <c r="I35" s="7">
        <v>-450000</v>
      </c>
      <c r="J35" s="7">
        <v>-450000</v>
      </c>
      <c r="K35" s="7">
        <v>-450000</v>
      </c>
      <c r="L35" s="7">
        <v>-450000</v>
      </c>
      <c r="M35" s="7">
        <v>-450000</v>
      </c>
      <c r="N35" s="7">
        <v>-450000</v>
      </c>
      <c r="O35" s="7">
        <v>-450000</v>
      </c>
      <c r="P35" s="7">
        <v>-450000</v>
      </c>
    </row>
    <row r="36" spans="2:21" x14ac:dyDescent="0.2">
      <c r="C36" s="18" t="s">
        <v>73</v>
      </c>
      <c r="D36" s="18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2:21" x14ac:dyDescent="0.2">
      <c r="B37" s="73" t="s">
        <v>74</v>
      </c>
      <c r="C37" s="73"/>
      <c r="D37" s="19"/>
      <c r="E37" s="15">
        <f t="shared" ref="E37:P37" si="3">SUM(E29:E36)</f>
        <v>2991979.7549999999</v>
      </c>
      <c r="F37" s="15">
        <f>SUM(F29:F36)</f>
        <v>34869169.530000001</v>
      </c>
      <c r="G37" s="15">
        <f t="shared" si="3"/>
        <v>1269174.4594999999</v>
      </c>
      <c r="H37" s="15">
        <f t="shared" si="3"/>
        <v>11393090</v>
      </c>
      <c r="I37" s="15">
        <f t="shared" si="3"/>
        <v>-4648965.0829999996</v>
      </c>
      <c r="J37" s="15">
        <f t="shared" si="3"/>
        <v>6764035.4030000009</v>
      </c>
      <c r="K37" s="15">
        <f t="shared" si="3"/>
        <v>-12527780.467</v>
      </c>
      <c r="L37" s="15">
        <f t="shared" si="3"/>
        <v>-2759980.0619999999</v>
      </c>
      <c r="M37" s="15">
        <f t="shared" si="3"/>
        <v>-321211.39000000013</v>
      </c>
      <c r="N37" s="15">
        <f t="shared" si="3"/>
        <v>6050000</v>
      </c>
      <c r="O37" s="15">
        <f t="shared" si="3"/>
        <v>-3950000</v>
      </c>
      <c r="P37" s="15">
        <f t="shared" si="3"/>
        <v>-3950000</v>
      </c>
    </row>
    <row r="39" spans="2:21" ht="13.5" thickBot="1" x14ac:dyDescent="0.25">
      <c r="B39" s="74" t="s">
        <v>75</v>
      </c>
      <c r="C39" s="74"/>
      <c r="D39" s="20"/>
      <c r="E39" s="21">
        <f t="shared" ref="E39:P39" si="4">E15+E26+E37</f>
        <v>-11587419.790279999</v>
      </c>
      <c r="F39" s="21">
        <f t="shared" si="4"/>
        <v>-9807440.9089999944</v>
      </c>
      <c r="G39" s="21">
        <f t="shared" si="4"/>
        <v>-2014160.3173000012</v>
      </c>
      <c r="H39" s="21">
        <f t="shared" si="4"/>
        <v>-8518496.7780000009</v>
      </c>
      <c r="I39" s="21">
        <f t="shared" si="4"/>
        <v>-10648617.130399998</v>
      </c>
      <c r="J39" s="21">
        <f t="shared" si="4"/>
        <v>9202674.1321999971</v>
      </c>
      <c r="K39" s="21">
        <f t="shared" si="4"/>
        <v>-12963701.053640001</v>
      </c>
      <c r="L39" s="21">
        <f t="shared" si="4"/>
        <v>7874695.8824000014</v>
      </c>
      <c r="M39" s="21">
        <f t="shared" si="4"/>
        <v>6700463.0879999977</v>
      </c>
      <c r="N39" s="21">
        <f t="shared" si="4"/>
        <v>5105333</v>
      </c>
      <c r="O39" s="21">
        <f t="shared" si="4"/>
        <v>7105333</v>
      </c>
      <c r="P39" s="21">
        <f t="shared" si="4"/>
        <v>19105333</v>
      </c>
    </row>
    <row r="40" spans="2:21" ht="13.5" thickTop="1" x14ac:dyDescent="0.2"/>
    <row r="41" spans="2:21" x14ac:dyDescent="0.2">
      <c r="C41" s="5" t="s">
        <v>76</v>
      </c>
      <c r="D41" s="5"/>
      <c r="E41" s="45">
        <f t="shared" ref="E41:P41" si="5">E5+E39</f>
        <v>-11024499.930639997</v>
      </c>
      <c r="F41" s="45">
        <f t="shared" si="5"/>
        <v>-20831940.839639992</v>
      </c>
      <c r="G41" s="45">
        <f t="shared" si="5"/>
        <v>-22846101.156939991</v>
      </c>
      <c r="H41" s="45">
        <f t="shared" si="5"/>
        <v>-31364597.934939992</v>
      </c>
      <c r="I41" s="45">
        <f t="shared" si="5"/>
        <v>-42013215.06533999</v>
      </c>
      <c r="J41" s="45">
        <f t="shared" si="5"/>
        <v>-32810540.933139995</v>
      </c>
      <c r="K41" s="45">
        <f t="shared" si="5"/>
        <v>-45774241.986779995</v>
      </c>
      <c r="L41" s="45">
        <f t="shared" si="5"/>
        <v>-37899546.104379997</v>
      </c>
      <c r="M41" s="45">
        <f t="shared" si="5"/>
        <v>-31199083.016379997</v>
      </c>
      <c r="N41" s="45">
        <f t="shared" si="5"/>
        <v>-26093750.016379997</v>
      </c>
      <c r="O41" s="45">
        <f t="shared" si="5"/>
        <v>-18988417.016379997</v>
      </c>
      <c r="P41" s="45">
        <f t="shared" si="5"/>
        <v>116915.98362000287</v>
      </c>
    </row>
    <row r="42" spans="2:21" x14ac:dyDescent="0.2">
      <c r="B42" s="22" t="s">
        <v>77</v>
      </c>
      <c r="E42" s="23"/>
    </row>
    <row r="43" spans="2:21" x14ac:dyDescent="0.2">
      <c r="B43" s="2" t="s">
        <v>158</v>
      </c>
      <c r="E43" s="46">
        <f>+IF(E41&lt;0,E41,"NO")</f>
        <v>-11024499.930639997</v>
      </c>
      <c r="F43" s="46">
        <f t="shared" ref="F43:O43" si="6">+IF(F41&lt;0,F41,"NO")</f>
        <v>-20831940.839639992</v>
      </c>
      <c r="G43" s="46">
        <f t="shared" si="6"/>
        <v>-22846101.156939991</v>
      </c>
      <c r="H43" s="46">
        <f t="shared" si="6"/>
        <v>-31364597.934939992</v>
      </c>
      <c r="I43" s="46">
        <f t="shared" si="6"/>
        <v>-42013215.06533999</v>
      </c>
      <c r="J43" s="46">
        <f t="shared" si="6"/>
        <v>-32810540.933139995</v>
      </c>
      <c r="K43" s="46">
        <f t="shared" si="6"/>
        <v>-45774241.986779995</v>
      </c>
      <c r="L43" s="46">
        <f t="shared" si="6"/>
        <v>-37899546.104379997</v>
      </c>
      <c r="M43" s="46">
        <f t="shared" si="6"/>
        <v>-31199083.016379997</v>
      </c>
      <c r="N43" s="46">
        <f t="shared" si="6"/>
        <v>-26093750.016379997</v>
      </c>
      <c r="O43" s="46">
        <f t="shared" si="6"/>
        <v>-18988417.016379997</v>
      </c>
      <c r="P43" s="46">
        <f>+P41</f>
        <v>116915.98362000287</v>
      </c>
    </row>
    <row r="45" spans="2:21" x14ac:dyDescent="0.2">
      <c r="C45" s="2" t="s">
        <v>265</v>
      </c>
      <c r="D45" s="2" t="s">
        <v>172</v>
      </c>
      <c r="E45" s="50">
        <v>-60133485</v>
      </c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</row>
    <row r="46" spans="2:21" x14ac:dyDescent="0.2">
      <c r="E46" s="50">
        <f>-E30</f>
        <v>-1941979.7549999999</v>
      </c>
      <c r="F46" s="50">
        <f t="shared" ref="F46:O46" si="7">-F30</f>
        <v>-33819169.530000001</v>
      </c>
      <c r="G46" s="50">
        <f t="shared" si="7"/>
        <v>-219174.4595</v>
      </c>
      <c r="H46" s="50">
        <f t="shared" si="7"/>
        <v>-10343090</v>
      </c>
      <c r="I46" s="50">
        <f t="shared" si="7"/>
        <v>5698965.0829999996</v>
      </c>
      <c r="J46" s="50">
        <f t="shared" si="7"/>
        <v>-6714035.4029999999</v>
      </c>
      <c r="K46" s="50">
        <f t="shared" si="7"/>
        <v>8577780.4670000002</v>
      </c>
      <c r="L46" s="50">
        <f t="shared" si="7"/>
        <v>-1190019.9380000001</v>
      </c>
      <c r="M46" s="50">
        <f t="shared" si="7"/>
        <v>-3628788.61</v>
      </c>
      <c r="N46" s="50">
        <f t="shared" si="7"/>
        <v>0</v>
      </c>
      <c r="O46" s="50">
        <f t="shared" si="7"/>
        <v>0</v>
      </c>
      <c r="P46" s="50">
        <f>-P30</f>
        <v>0</v>
      </c>
    </row>
    <row r="47" spans="2:21" x14ac:dyDescent="0.2">
      <c r="D47" s="2" t="s">
        <v>173</v>
      </c>
      <c r="E47" s="53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2">
        <f>+E45+SUM(E46:P46)</f>
        <v>-103712997.1455</v>
      </c>
      <c r="R47" s="2" t="s">
        <v>266</v>
      </c>
      <c r="U47" s="2" t="s">
        <v>264</v>
      </c>
    </row>
    <row r="48" spans="2:21" x14ac:dyDescent="0.2">
      <c r="C48" s="2" t="s">
        <v>190</v>
      </c>
      <c r="D48" s="2" t="s">
        <v>172</v>
      </c>
      <c r="E48" s="50">
        <v>-49330939</v>
      </c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</row>
    <row r="49" spans="3:18" x14ac:dyDescent="0.2">
      <c r="E49" s="50">
        <f>-E32-E36</f>
        <v>-5000000</v>
      </c>
      <c r="F49" s="50">
        <f t="shared" ref="F49:P49" si="8">-F32-F36</f>
        <v>-5000000</v>
      </c>
      <c r="G49" s="50">
        <f t="shared" si="8"/>
        <v>-5000000</v>
      </c>
      <c r="H49" s="50">
        <f t="shared" si="8"/>
        <v>-5000000</v>
      </c>
      <c r="I49" s="50">
        <f t="shared" si="8"/>
        <v>-5000000</v>
      </c>
      <c r="J49" s="50">
        <f t="shared" si="8"/>
        <v>-4000000</v>
      </c>
      <c r="K49" s="50">
        <f t="shared" si="8"/>
        <v>0</v>
      </c>
      <c r="L49" s="50">
        <f t="shared" si="8"/>
        <v>0</v>
      </c>
      <c r="M49" s="50">
        <f t="shared" si="8"/>
        <v>0</v>
      </c>
      <c r="N49" s="50">
        <f t="shared" si="8"/>
        <v>-10000000</v>
      </c>
      <c r="O49" s="50">
        <f t="shared" si="8"/>
        <v>0</v>
      </c>
      <c r="P49" s="50">
        <f t="shared" si="8"/>
        <v>0</v>
      </c>
    </row>
    <row r="50" spans="3:18" x14ac:dyDescent="0.2">
      <c r="D50" s="2" t="s">
        <v>173</v>
      </c>
      <c r="E50" s="53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2">
        <f>+E48+SUM(E49:P49)</f>
        <v>-88330939</v>
      </c>
      <c r="R50" s="2" t="s">
        <v>267</v>
      </c>
    </row>
    <row r="51" spans="3:18" x14ac:dyDescent="0.2">
      <c r="C51" s="2" t="s">
        <v>191</v>
      </c>
      <c r="D51" s="2" t="s">
        <v>172</v>
      </c>
      <c r="E51" s="50">
        <v>-38093451</v>
      </c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</row>
    <row r="52" spans="3:18" x14ac:dyDescent="0.2">
      <c r="E52" s="50">
        <f>-E35</f>
        <v>450000</v>
      </c>
      <c r="F52" s="50">
        <f t="shared" ref="F52:P52" si="9">-F35</f>
        <v>450000</v>
      </c>
      <c r="G52" s="50">
        <f t="shared" si="9"/>
        <v>450000</v>
      </c>
      <c r="H52" s="50">
        <f t="shared" si="9"/>
        <v>450000</v>
      </c>
      <c r="I52" s="50">
        <f t="shared" si="9"/>
        <v>450000</v>
      </c>
      <c r="J52" s="50">
        <f t="shared" si="9"/>
        <v>450000</v>
      </c>
      <c r="K52" s="50">
        <f t="shared" si="9"/>
        <v>450000</v>
      </c>
      <c r="L52" s="50">
        <f t="shared" si="9"/>
        <v>450000</v>
      </c>
      <c r="M52" s="50">
        <f t="shared" si="9"/>
        <v>450000</v>
      </c>
      <c r="N52" s="50">
        <f t="shared" si="9"/>
        <v>450000</v>
      </c>
      <c r="O52" s="50">
        <f t="shared" si="9"/>
        <v>450000</v>
      </c>
      <c r="P52" s="50">
        <f t="shared" si="9"/>
        <v>450000</v>
      </c>
      <c r="R52" s="2" t="s">
        <v>268</v>
      </c>
    </row>
    <row r="53" spans="3:18" x14ac:dyDescent="0.2">
      <c r="D53" s="2" t="s">
        <v>173</v>
      </c>
      <c r="E53" s="53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2">
        <f>+E51+SUM(E52:P52)</f>
        <v>-32693451</v>
      </c>
    </row>
    <row r="56" spans="3:18" x14ac:dyDescent="0.2">
      <c r="K56" s="46"/>
    </row>
    <row r="57" spans="3:18" x14ac:dyDescent="0.2">
      <c r="K57" s="51"/>
    </row>
    <row r="58" spans="3:18" x14ac:dyDescent="0.2">
      <c r="K58" s="51"/>
    </row>
    <row r="59" spans="3:18" x14ac:dyDescent="0.2">
      <c r="K59" s="51"/>
    </row>
  </sheetData>
  <mergeCells count="14">
    <mergeCell ref="B37:C37"/>
    <mergeCell ref="B39:C39"/>
    <mergeCell ref="B18:C18"/>
    <mergeCell ref="B22:C22"/>
    <mergeCell ref="B26:C26"/>
    <mergeCell ref="B28:C28"/>
    <mergeCell ref="B29:C29"/>
    <mergeCell ref="B33:C33"/>
    <mergeCell ref="B17:C17"/>
    <mergeCell ref="B3:E3"/>
    <mergeCell ref="B7:C7"/>
    <mergeCell ref="B8:C8"/>
    <mergeCell ref="B9:C9"/>
    <mergeCell ref="B15:C15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249977111117893"/>
  </sheetPr>
  <dimension ref="B1:R31"/>
  <sheetViews>
    <sheetView zoomScale="80" zoomScaleNormal="80" workbookViewId="0">
      <selection activeCell="P9" sqref="P9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16" width="12.7109375" style="2" customWidth="1"/>
    <col min="17" max="16384" width="9.140625" style="2"/>
  </cols>
  <sheetData>
    <row r="1" spans="2:18" x14ac:dyDescent="0.2">
      <c r="B1" s="1"/>
      <c r="C1" s="1"/>
      <c r="D1" s="1"/>
      <c r="E1" s="1"/>
    </row>
    <row r="2" spans="2:18" x14ac:dyDescent="0.2">
      <c r="B2" s="3" t="s">
        <v>78</v>
      </c>
      <c r="C2" s="3"/>
      <c r="D2" s="3"/>
      <c r="E2" s="3"/>
    </row>
    <row r="3" spans="2:18" x14ac:dyDescent="0.2">
      <c r="B3" s="76" t="s">
        <v>92</v>
      </c>
      <c r="C3" s="76"/>
      <c r="D3" s="76"/>
      <c r="E3" s="76"/>
      <c r="R3" s="2" t="s">
        <v>90</v>
      </c>
    </row>
    <row r="4" spans="2:18" x14ac:dyDescent="0.2">
      <c r="B4" s="4"/>
      <c r="C4" s="5" t="s">
        <v>48</v>
      </c>
      <c r="D4" s="5"/>
      <c r="E4" s="6">
        <v>42735</v>
      </c>
      <c r="F4" s="4"/>
    </row>
    <row r="5" spans="2:18" x14ac:dyDescent="0.2">
      <c r="C5" s="5" t="s">
        <v>84</v>
      </c>
      <c r="D5" s="5"/>
      <c r="E5" s="43">
        <v>120949333.5024623</v>
      </c>
      <c r="F5" s="26">
        <f>+E13</f>
        <v>132128312.8324623</v>
      </c>
      <c r="G5" s="26">
        <f t="shared" ref="G5:P5" si="0">+F13</f>
        <v>171338748.48246229</v>
      </c>
      <c r="H5" s="26">
        <f t="shared" si="0"/>
        <v>172402191.42746228</v>
      </c>
      <c r="I5" s="26">
        <f t="shared" si="0"/>
        <v>186279053.86746228</v>
      </c>
      <c r="J5" s="26">
        <f t="shared" si="0"/>
        <v>189679960.52146229</v>
      </c>
      <c r="K5" s="26">
        <f t="shared" si="0"/>
        <v>186009346.55046231</v>
      </c>
      <c r="L5" s="26">
        <f t="shared" si="0"/>
        <v>185410936.03046229</v>
      </c>
      <c r="M5" s="26">
        <f t="shared" si="0"/>
        <v>178292287.1154623</v>
      </c>
      <c r="N5" s="26">
        <f t="shared" si="0"/>
        <v>174609235.41846231</v>
      </c>
      <c r="O5" s="26">
        <f t="shared" si="0"/>
        <v>181509235.41846231</v>
      </c>
      <c r="P5" s="26">
        <f t="shared" si="0"/>
        <v>179909235.41846231</v>
      </c>
    </row>
    <row r="7" spans="2:18" x14ac:dyDescent="0.2">
      <c r="B7" s="68" t="s">
        <v>78</v>
      </c>
      <c r="C7" s="68"/>
      <c r="D7" s="8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8" s="24" customFormat="1" x14ac:dyDescent="0.2">
      <c r="C8" s="24" t="s">
        <v>79</v>
      </c>
      <c r="D8" s="25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9" spans="2:18" s="24" customFormat="1" x14ac:dyDescent="0.2">
      <c r="C9" s="24" t="s">
        <v>80</v>
      </c>
      <c r="D9" s="25"/>
      <c r="E9" s="42">
        <f>+lv!D58+lv!D62</f>
        <v>13266819.372399999</v>
      </c>
      <c r="F9" s="42">
        <f>+lv!E58+lv!E62</f>
        <v>40058950.509999998</v>
      </c>
      <c r="G9" s="42">
        <f>+lv!F58+lv!F62</f>
        <v>2113016.0090000001</v>
      </c>
      <c r="H9" s="42">
        <f>+lv!G58+lv!G62</f>
        <v>14027555.029999999</v>
      </c>
      <c r="I9" s="42">
        <f>+lv!H58+lv!H62</f>
        <v>4616660.0429999996</v>
      </c>
      <c r="J9" s="42">
        <f>+lv!I58+lv!I62</f>
        <v>6536093.932</v>
      </c>
      <c r="K9" s="42">
        <f>+lv!J58+lv!J62</f>
        <v>1501541.973</v>
      </c>
      <c r="L9" s="42">
        <f>+lv!K58+lv!K62</f>
        <v>3488371.4180000001</v>
      </c>
      <c r="M9" s="42">
        <f>+lv!L58+lv!L62</f>
        <v>1859705.25</v>
      </c>
      <c r="N9" s="49">
        <v>13500000</v>
      </c>
      <c r="O9" s="49">
        <v>13500000</v>
      </c>
      <c r="P9" s="49">
        <v>13500000</v>
      </c>
      <c r="R9" s="24">
        <v>2</v>
      </c>
    </row>
    <row r="10" spans="2:18" s="24" customFormat="1" x14ac:dyDescent="0.2">
      <c r="C10" s="24" t="s">
        <v>81</v>
      </c>
      <c r="D10" s="25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8" s="24" customFormat="1" x14ac:dyDescent="0.2">
      <c r="C11" s="24" t="s">
        <v>82</v>
      </c>
      <c r="D11" s="25"/>
      <c r="E11" s="39">
        <f>+'P&amp;L'!H17+'P&amp;L'!H19</f>
        <v>-2087840.0424000006</v>
      </c>
      <c r="F11" s="39">
        <f>+'P&amp;L'!I17+'P&amp;L'!I19</f>
        <v>-848514.8599999994</v>
      </c>
      <c r="G11" s="39">
        <f>+'P&amp;L'!J17+'P&amp;L'!J19</f>
        <v>-1049573.0640000002</v>
      </c>
      <c r="H11" s="39">
        <f>+'P&amp;L'!K17+'P&amp;L'!K19</f>
        <v>-150692.58999999985</v>
      </c>
      <c r="I11" s="39">
        <f>+'P&amp;L'!L17+'P&amp;L'!L19</f>
        <v>-1215753.3889999995</v>
      </c>
      <c r="J11" s="39">
        <f>+'P&amp;L'!M17+'P&amp;L'!M19</f>
        <v>-10206707.903000001</v>
      </c>
      <c r="K11" s="39">
        <f>+'P&amp;L'!N17+'P&amp;L'!N19</f>
        <v>-2099952.4929999998</v>
      </c>
      <c r="L11" s="39">
        <f>+'P&amp;L'!O17+'P&amp;L'!O19</f>
        <v>-10607020.333000001</v>
      </c>
      <c r="M11" s="39">
        <f>+'P&amp;L'!P17+'P&amp;L'!P19</f>
        <v>-5542756.9470000006</v>
      </c>
      <c r="N11" s="54">
        <f>+'P&amp;L'!Q17+'P&amp;L'!Q19</f>
        <v>-6600000</v>
      </c>
      <c r="O11" s="54">
        <f>+'P&amp;L'!R17+'P&amp;L'!R19</f>
        <v>-15100000</v>
      </c>
      <c r="P11" s="54">
        <f>+'P&amp;L'!S17+'P&amp;L'!S19</f>
        <v>-23600000</v>
      </c>
    </row>
    <row r="12" spans="2:18" s="24" customFormat="1" x14ac:dyDescent="0.2">
      <c r="C12" s="25" t="s">
        <v>83</v>
      </c>
      <c r="D12" s="25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pans="2:18" ht="13.5" thickBot="1" x14ac:dyDescent="0.25">
      <c r="B13" s="75" t="s">
        <v>85</v>
      </c>
      <c r="C13" s="75"/>
      <c r="D13" s="20"/>
      <c r="E13" s="29">
        <f>+E5+SUM(E8:E12)</f>
        <v>132128312.8324623</v>
      </c>
      <c r="F13" s="29">
        <f>+F5+SUM(F8:F12)</f>
        <v>171338748.48246229</v>
      </c>
      <c r="G13" s="29">
        <f>+G5+SUM(G8:G12)</f>
        <v>172402191.42746228</v>
      </c>
      <c r="H13" s="29">
        <f>+H5+SUM(H8:H12)</f>
        <v>186279053.86746228</v>
      </c>
      <c r="I13" s="29">
        <f t="shared" ref="I13:P13" si="1">+I5+SUM(I8:I12)</f>
        <v>189679960.52146229</v>
      </c>
      <c r="J13" s="29">
        <f t="shared" si="1"/>
        <v>186009346.55046231</v>
      </c>
      <c r="K13" s="29">
        <f t="shared" si="1"/>
        <v>185410936.03046229</v>
      </c>
      <c r="L13" s="29">
        <f t="shared" si="1"/>
        <v>178292287.1154623</v>
      </c>
      <c r="M13" s="29">
        <f t="shared" si="1"/>
        <v>174609235.41846231</v>
      </c>
      <c r="N13" s="29">
        <f t="shared" si="1"/>
        <v>181509235.41846231</v>
      </c>
      <c r="O13" s="29">
        <f t="shared" si="1"/>
        <v>179909235.41846231</v>
      </c>
      <c r="P13" s="29">
        <f t="shared" si="1"/>
        <v>169809235.41846231</v>
      </c>
    </row>
    <row r="14" spans="2:18" ht="13.5" thickTop="1" x14ac:dyDescent="0.2"/>
    <row r="15" spans="2:18" x14ac:dyDescent="0.2">
      <c r="P15" s="30"/>
    </row>
    <row r="17" spans="2:16" x14ac:dyDescent="0.2">
      <c r="P17" s="30"/>
    </row>
    <row r="19" spans="2:16" x14ac:dyDescent="0.2">
      <c r="B19" s="2" t="s">
        <v>91</v>
      </c>
      <c r="P19" s="31"/>
    </row>
    <row r="20" spans="2:16" x14ac:dyDescent="0.2">
      <c r="B20" s="4"/>
      <c r="C20" s="5" t="s">
        <v>48</v>
      </c>
      <c r="D20" s="5"/>
      <c r="E20" s="6">
        <f>+E4</f>
        <v>42735</v>
      </c>
      <c r="F20" s="4"/>
    </row>
    <row r="21" spans="2:16" x14ac:dyDescent="0.2">
      <c r="C21" s="5" t="s">
        <v>84</v>
      </c>
      <c r="D21" s="5"/>
      <c r="E21" s="37">
        <f>+E5/140</f>
        <v>863923.8107318735</v>
      </c>
      <c r="F21" s="38">
        <f>+E29</f>
        <v>943773.66308901634</v>
      </c>
      <c r="G21" s="38">
        <f t="shared" ref="G21" si="2">+F29</f>
        <v>1223848.2034461591</v>
      </c>
      <c r="H21" s="38">
        <f t="shared" ref="H21" si="3">+G29</f>
        <v>1231444.2244818734</v>
      </c>
      <c r="I21" s="38">
        <f t="shared" ref="I21" si="4">+H29</f>
        <v>1330564.6704818734</v>
      </c>
      <c r="J21" s="38">
        <f t="shared" ref="J21" si="5">+I29</f>
        <v>1354856.8608675878</v>
      </c>
      <c r="K21" s="38">
        <f t="shared" ref="K21" si="6">+J29</f>
        <v>1328638.1896461593</v>
      </c>
      <c r="L21" s="38">
        <f t="shared" ref="L21" si="7">+K29</f>
        <v>1324363.8287890165</v>
      </c>
      <c r="M21" s="38">
        <f t="shared" ref="M21" si="8">+L29</f>
        <v>1273516.3365390166</v>
      </c>
      <c r="N21" s="38">
        <f t="shared" ref="N21" si="9">+M29</f>
        <v>1247208.8244175881</v>
      </c>
      <c r="O21" s="38">
        <f t="shared" ref="O21" si="10">+N29</f>
        <v>1296494.5387033024</v>
      </c>
      <c r="P21" s="38">
        <f t="shared" ref="P21" si="11">+O29</f>
        <v>1285065.967274731</v>
      </c>
    </row>
    <row r="23" spans="2:16" x14ac:dyDescent="0.2">
      <c r="B23" s="68" t="s">
        <v>78</v>
      </c>
      <c r="C23" s="68"/>
      <c r="D23" s="32"/>
      <c r="E23" s="9">
        <f>+E7</f>
        <v>42736</v>
      </c>
      <c r="F23" s="9">
        <f t="shared" ref="F23:P23" si="12">+F7</f>
        <v>42767</v>
      </c>
      <c r="G23" s="9">
        <f t="shared" si="12"/>
        <v>42795</v>
      </c>
      <c r="H23" s="9">
        <f t="shared" si="12"/>
        <v>42826</v>
      </c>
      <c r="I23" s="9">
        <f t="shared" si="12"/>
        <v>42856</v>
      </c>
      <c r="J23" s="9">
        <f t="shared" si="12"/>
        <v>42887</v>
      </c>
      <c r="K23" s="9">
        <f t="shared" si="12"/>
        <v>42917</v>
      </c>
      <c r="L23" s="9">
        <f t="shared" si="12"/>
        <v>42948</v>
      </c>
      <c r="M23" s="9">
        <f t="shared" si="12"/>
        <v>42979</v>
      </c>
      <c r="N23" s="9">
        <f t="shared" si="12"/>
        <v>43009</v>
      </c>
      <c r="O23" s="9">
        <f>+O7</f>
        <v>43040</v>
      </c>
      <c r="P23" s="9">
        <f t="shared" si="12"/>
        <v>43070</v>
      </c>
    </row>
    <row r="24" spans="2:16" s="24" customFormat="1" x14ac:dyDescent="0.2">
      <c r="C24" s="24" t="s">
        <v>79</v>
      </c>
      <c r="D24" s="25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</row>
    <row r="25" spans="2:16" s="24" customFormat="1" x14ac:dyDescent="0.2">
      <c r="C25" s="24" t="s">
        <v>80</v>
      </c>
      <c r="D25" s="25"/>
      <c r="E25" s="34">
        <f>+E9/140</f>
        <v>94762.995517142845</v>
      </c>
      <c r="F25" s="34">
        <f>+F9/140</f>
        <v>286135.36078571429</v>
      </c>
      <c r="G25" s="34">
        <f t="shared" ref="G25:P25" si="13">+G9/140</f>
        <v>15092.971492857143</v>
      </c>
      <c r="H25" s="34">
        <f t="shared" si="13"/>
        <v>100196.82164285713</v>
      </c>
      <c r="I25" s="34">
        <f t="shared" si="13"/>
        <v>32976.143164285713</v>
      </c>
      <c r="J25" s="34">
        <f t="shared" si="13"/>
        <v>46686.385228571431</v>
      </c>
      <c r="K25" s="34">
        <f t="shared" si="13"/>
        <v>10725.299807142857</v>
      </c>
      <c r="L25" s="34">
        <f t="shared" si="13"/>
        <v>24916.938699999999</v>
      </c>
      <c r="M25" s="34">
        <f t="shared" si="13"/>
        <v>13283.608928571428</v>
      </c>
      <c r="N25" s="34">
        <f t="shared" si="13"/>
        <v>96428.571428571435</v>
      </c>
      <c r="O25" s="34">
        <f t="shared" si="13"/>
        <v>96428.571428571435</v>
      </c>
      <c r="P25" s="34">
        <f t="shared" si="13"/>
        <v>96428.571428571435</v>
      </c>
    </row>
    <row r="26" spans="2:16" s="24" customFormat="1" x14ac:dyDescent="0.2">
      <c r="C26" s="24" t="s">
        <v>81</v>
      </c>
      <c r="D26" s="25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</row>
    <row r="27" spans="2:16" s="24" customFormat="1" x14ac:dyDescent="0.2">
      <c r="C27" s="24" t="s">
        <v>82</v>
      </c>
      <c r="D27" s="25"/>
      <c r="E27" s="34">
        <f>+E11/140</f>
        <v>-14913.143160000005</v>
      </c>
      <c r="F27" s="34">
        <f t="shared" ref="F27:P27" si="14">+F11/140</f>
        <v>-6060.8204285714246</v>
      </c>
      <c r="G27" s="34">
        <f t="shared" si="14"/>
        <v>-7496.9504571428588</v>
      </c>
      <c r="H27" s="34">
        <f t="shared" si="14"/>
        <v>-1076.3756428571419</v>
      </c>
      <c r="I27" s="34">
        <f t="shared" si="14"/>
        <v>-8683.9527785714254</v>
      </c>
      <c r="J27" s="34">
        <f t="shared" si="14"/>
        <v>-72905.056450000004</v>
      </c>
      <c r="K27" s="34">
        <f t="shared" si="14"/>
        <v>-14999.660664285713</v>
      </c>
      <c r="L27" s="34">
        <f t="shared" si="14"/>
        <v>-75764.430950000009</v>
      </c>
      <c r="M27" s="34">
        <f t="shared" si="14"/>
        <v>-39591.121050000002</v>
      </c>
      <c r="N27" s="34">
        <f t="shared" si="14"/>
        <v>-47142.857142857145</v>
      </c>
      <c r="O27" s="34">
        <f t="shared" si="14"/>
        <v>-107857.14285714286</v>
      </c>
      <c r="P27" s="34">
        <f t="shared" si="14"/>
        <v>-168571.42857142858</v>
      </c>
    </row>
    <row r="28" spans="2:16" s="24" customFormat="1" x14ac:dyDescent="0.2">
      <c r="C28" s="25" t="s">
        <v>83</v>
      </c>
      <c r="D28" s="2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</row>
    <row r="29" spans="2:16" ht="13.5" thickBot="1" x14ac:dyDescent="0.25">
      <c r="B29" s="75" t="s">
        <v>85</v>
      </c>
      <c r="C29" s="75"/>
      <c r="D29" s="33"/>
      <c r="E29" s="36">
        <f>+E21+SUM(E24:E28)</f>
        <v>943773.66308901634</v>
      </c>
      <c r="F29" s="36">
        <f t="shared" ref="F29:P29" si="15">+F21+SUM(F24:F28)</f>
        <v>1223848.2034461591</v>
      </c>
      <c r="G29" s="36">
        <f t="shared" si="15"/>
        <v>1231444.2244818734</v>
      </c>
      <c r="H29" s="36">
        <f t="shared" si="15"/>
        <v>1330564.6704818734</v>
      </c>
      <c r="I29" s="36">
        <f t="shared" si="15"/>
        <v>1354856.8608675878</v>
      </c>
      <c r="J29" s="36">
        <f t="shared" si="15"/>
        <v>1328638.1896461593</v>
      </c>
      <c r="K29" s="36">
        <f t="shared" si="15"/>
        <v>1324363.8287890165</v>
      </c>
      <c r="L29" s="36">
        <f t="shared" si="15"/>
        <v>1273516.3365390166</v>
      </c>
      <c r="M29" s="36">
        <f t="shared" si="15"/>
        <v>1247208.8244175881</v>
      </c>
      <c r="N29" s="36">
        <f t="shared" si="15"/>
        <v>1296494.5387033024</v>
      </c>
      <c r="O29" s="36">
        <f t="shared" si="15"/>
        <v>1285065.967274731</v>
      </c>
      <c r="P29" s="36">
        <f t="shared" si="15"/>
        <v>1212923.110131874</v>
      </c>
    </row>
    <row r="30" spans="2:16" ht="13.5" thickTop="1" x14ac:dyDescent="0.2"/>
    <row r="31" spans="2:16" x14ac:dyDescent="0.2">
      <c r="E31" s="40">
        <f>+SUM(E25:J25)</f>
        <v>575850.67783142859</v>
      </c>
      <c r="F31" s="40"/>
      <c r="K31" s="40">
        <f>+SUM(K25:P25)</f>
        <v>338211.56172142859</v>
      </c>
      <c r="L31" s="40"/>
    </row>
  </sheetData>
  <mergeCells count="5">
    <mergeCell ref="B7:C7"/>
    <mergeCell ref="B13:C13"/>
    <mergeCell ref="B3:E3"/>
    <mergeCell ref="B23:C23"/>
    <mergeCell ref="B29:C29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249977111117893"/>
  </sheetPr>
  <dimension ref="B1:P20"/>
  <sheetViews>
    <sheetView zoomScale="80" zoomScaleNormal="80" workbookViewId="0">
      <selection activeCell="K22" sqref="K22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16" width="12.7109375" style="2" customWidth="1"/>
    <col min="17" max="16384" width="9.140625" style="2"/>
  </cols>
  <sheetData>
    <row r="1" spans="2:16" x14ac:dyDescent="0.2">
      <c r="B1" s="1"/>
      <c r="C1" s="1"/>
      <c r="D1" s="1"/>
      <c r="E1" s="1"/>
    </row>
    <row r="2" spans="2:16" x14ac:dyDescent="0.2">
      <c r="B2" s="3" t="s">
        <v>93</v>
      </c>
      <c r="C2" s="3"/>
      <c r="D2" s="3"/>
      <c r="E2" s="3"/>
    </row>
    <row r="3" spans="2:16" x14ac:dyDescent="0.2">
      <c r="B3" s="76"/>
      <c r="C3" s="76"/>
      <c r="D3" s="76"/>
      <c r="E3" s="76"/>
    </row>
    <row r="4" spans="2:16" x14ac:dyDescent="0.2">
      <c r="B4" s="4"/>
      <c r="C4" s="5" t="s">
        <v>48</v>
      </c>
      <c r="D4" s="5"/>
      <c r="E4" s="6">
        <v>42735</v>
      </c>
      <c r="F4" s="4"/>
    </row>
    <row r="5" spans="2:16" x14ac:dyDescent="0.2">
      <c r="C5" s="5" t="s">
        <v>96</v>
      </c>
      <c r="D5" s="5"/>
      <c r="E5" s="43">
        <v>8791022.7136047222</v>
      </c>
      <c r="F5" s="26">
        <f>+IF(E14&gt;0,E14,0)</f>
        <v>10898123.586284721</v>
      </c>
      <c r="G5" s="26">
        <f t="shared" ref="G5:P5" si="0">+IF(F14&gt;0,F14,0)</f>
        <v>17982644.58128472</v>
      </c>
      <c r="H5" s="26">
        <f t="shared" si="0"/>
        <v>18181478.199084722</v>
      </c>
      <c r="I5" s="26">
        <f t="shared" si="0"/>
        <v>21029600.53308472</v>
      </c>
      <c r="J5" s="26">
        <f t="shared" si="0"/>
        <v>21520582.296524722</v>
      </c>
      <c r="K5" s="26">
        <f t="shared" si="0"/>
        <v>20118476.315604724</v>
      </c>
      <c r="L5" s="26">
        <f t="shared" si="0"/>
        <v>19628929.597044725</v>
      </c>
      <c r="M5" s="26">
        <f t="shared" si="0"/>
        <v>17564473.814644724</v>
      </c>
      <c r="N5" s="26">
        <f t="shared" si="0"/>
        <v>16053037.752644725</v>
      </c>
      <c r="O5" s="26">
        <f t="shared" si="0"/>
        <v>15875637.752644725</v>
      </c>
      <c r="P5" s="26">
        <f t="shared" si="0"/>
        <v>13698237.752644725</v>
      </c>
    </row>
    <row r="7" spans="2:16" x14ac:dyDescent="0.2">
      <c r="B7" s="68" t="s">
        <v>78</v>
      </c>
      <c r="C7" s="68"/>
      <c r="D7" s="32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6" s="24" customFormat="1" x14ac:dyDescent="0.2">
      <c r="C8" s="24" t="s">
        <v>80</v>
      </c>
      <c r="D8" s="25"/>
      <c r="E8" s="27">
        <f>-('P&amp;L'!H24+'P&amp;L'!H25+'P&amp;L'!H26+'P&amp;L'!H27+'P&amp;L'!H28+'P&amp;L'!H29+'P&amp;L'!H34+'P&amp;L'!H38+'P&amp;L'!H39)*0.2</f>
        <v>182029.06880000001</v>
      </c>
      <c r="F8" s="27">
        <f>-('P&amp;L'!I24+'P&amp;L'!I25+'P&amp;L'!I26+'P&amp;L'!I27+'P&amp;L'!I28+'P&amp;L'!I29+'P&amp;L'!I34+'P&amp;L'!I38+'P&amp;L'!I39)*0.2</f>
        <v>-51851.449000000015</v>
      </c>
      <c r="G8" s="27">
        <f>-('P&amp;L'!J24+'P&amp;L'!J25+'P&amp;L'!J26+'P&amp;L'!J27+'P&amp;L'!J28+'P&amp;L'!J29+'P&amp;L'!J34+'P&amp;L'!J38+'P&amp;L'!J39)*0.2</f>
        <v>337801.96500000008</v>
      </c>
      <c r="H8" s="27">
        <f>-('P&amp;L'!K24+'P&amp;L'!K25+'P&amp;L'!K26+'P&amp;L'!K27+'P&amp;L'!K28+'P&amp;L'!K29+'P&amp;L'!K34+'P&amp;L'!K38+'P&amp;L'!K39)*0.2</f>
        <v>376492.53200000012</v>
      </c>
      <c r="I8" s="27">
        <f>-('P&amp;L'!L24+'P&amp;L'!L25+'P&amp;L'!L26+'P&amp;L'!L27+'P&amp;L'!L28+'P&amp;L'!L29+'P&amp;L'!L34+'P&amp;L'!L38+'P&amp;L'!L39)*0.2</f>
        <v>178038.60324</v>
      </c>
      <c r="J8" s="27">
        <f>-('P&amp;L'!M24+'P&amp;L'!M25+'P&amp;L'!M26+'P&amp;L'!M27+'P&amp;L'!M28+'P&amp;L'!M29+'P&amp;L'!M34+'P&amp;L'!M38+'P&amp;L'!M39)*0.2</f>
        <v>326706.88868000009</v>
      </c>
      <c r="K8" s="27">
        <f>-('P&amp;L'!N24+'P&amp;L'!N25+'P&amp;L'!N26+'P&amp;L'!N27+'P&amp;L'!N28+'P&amp;L'!N29+'P&amp;L'!N34+'P&amp;L'!N38+'P&amp;L'!N39)*0.2</f>
        <v>171587.092</v>
      </c>
      <c r="L8" s="27">
        <f>-('P&amp;L'!O24+'P&amp;L'!O25+'P&amp;L'!O26+'P&amp;L'!O27+'P&amp;L'!O28+'P&amp;L'!O29+'P&amp;L'!O34+'P&amp;L'!O38+'P&amp;L'!O39)*0.2</f>
        <v>167121.06</v>
      </c>
      <c r="M8" s="27">
        <f>-('P&amp;L'!P24+'P&amp;L'!P25+'P&amp;L'!P26+'P&amp;L'!P27+'P&amp;L'!P28+'P&amp;L'!P29+'P&amp;L'!P34+'P&amp;L'!P38+'P&amp;L'!P39)*0.2</f>
        <v>181779.01600000003</v>
      </c>
      <c r="N8" s="27">
        <f>-('P&amp;L'!Q24+'P&amp;L'!Q25+'P&amp;L'!Q26+'P&amp;L'!Q27+'P&amp;L'!Q28+'P&amp;L'!Q29+'P&amp;L'!Q34+'P&amp;L'!Q38+'P&amp;L'!Q39)*0.2</f>
        <v>122600</v>
      </c>
      <c r="O8" s="27">
        <f>-('P&amp;L'!R24+'P&amp;L'!R25+'P&amp;L'!R26+'P&amp;L'!R27+'P&amp;L'!R28+'P&amp;L'!R29+'P&amp;L'!R34+'P&amp;L'!R38+'P&amp;L'!R39)*0.2</f>
        <v>122600</v>
      </c>
      <c r="P8" s="27">
        <f>-('P&amp;L'!S24+'P&amp;L'!S25+'P&amp;L'!S26+'P&amp;L'!S27+'P&amp;L'!S28+'P&amp;L'!S29+'P&amp;L'!S34+'P&amp;L'!S38+'P&amp;L'!S39)*0.2</f>
        <v>122600</v>
      </c>
    </row>
    <row r="9" spans="2:16" s="24" customFormat="1" x14ac:dyDescent="0.2">
      <c r="C9" s="24" t="s">
        <v>78</v>
      </c>
      <c r="D9" s="25"/>
      <c r="E9" s="27">
        <f>+Inventories!E9*0.2</f>
        <v>2653363.8744799998</v>
      </c>
      <c r="F9" s="27">
        <f>+Inventories!F9*0.2</f>
        <v>8011790.102</v>
      </c>
      <c r="G9" s="27">
        <f>+Inventories!G9*0.2</f>
        <v>422603.20180000004</v>
      </c>
      <c r="H9" s="27">
        <f>+Inventories!H9*0.2</f>
        <v>2805511.0060000001</v>
      </c>
      <c r="I9" s="27">
        <f>+Inventories!I9*0.2</f>
        <v>923332.00859999994</v>
      </c>
      <c r="J9" s="27">
        <f>+Inventories!J9*0.2</f>
        <v>1307218.7864000001</v>
      </c>
      <c r="K9" s="27">
        <f>+Inventories!K9*0.2</f>
        <v>300308.3946</v>
      </c>
      <c r="L9" s="27">
        <f>+Inventories!L9*0.2</f>
        <v>697674.28360000008</v>
      </c>
      <c r="M9" s="27">
        <f>+Inventories!M9*0.2</f>
        <v>371941.05000000005</v>
      </c>
      <c r="N9" s="27">
        <f>+Inventories!N9*0.2</f>
        <v>2700000</v>
      </c>
      <c r="O9" s="27">
        <f>+Inventories!O9*0.2</f>
        <v>2700000</v>
      </c>
      <c r="P9" s="27">
        <f>+Inventories!P9*0.2</f>
        <v>2700000</v>
      </c>
    </row>
    <row r="10" spans="2:16" s="24" customFormat="1" x14ac:dyDescent="0.2">
      <c r="C10" s="24" t="s">
        <v>94</v>
      </c>
      <c r="D10" s="25"/>
      <c r="E10" s="27">
        <f>-CashFlow!E23*0.2</f>
        <v>23290</v>
      </c>
      <c r="F10" s="27">
        <f>-CashFlow!F23*0.2</f>
        <v>17928</v>
      </c>
      <c r="G10" s="27">
        <f>-CashFlow!G23*0.2</f>
        <v>87252.455000000016</v>
      </c>
      <c r="H10" s="27">
        <f>-CashFlow!H23*0.2</f>
        <v>7983.3339999999998</v>
      </c>
      <c r="I10" s="27">
        <f>-CashFlow!I23*0.2</f>
        <v>0</v>
      </c>
      <c r="J10" s="27">
        <f>-CashFlow!J23*0.2</f>
        <v>0</v>
      </c>
      <c r="K10" s="27">
        <f>-CashFlow!K23*0.2</f>
        <v>0</v>
      </c>
      <c r="L10" s="27">
        <f>-CashFlow!L23*0.2</f>
        <v>0</v>
      </c>
      <c r="M10" s="27">
        <f>-CashFlow!M23*0.2</f>
        <v>0</v>
      </c>
      <c r="N10" s="27">
        <f>-CashFlow!N23*0.2</f>
        <v>0</v>
      </c>
      <c r="O10" s="27">
        <f>-CashFlow!O23*0.2</f>
        <v>0</v>
      </c>
      <c r="P10" s="27">
        <f>-CashFlow!P23*0.2</f>
        <v>0</v>
      </c>
    </row>
    <row r="11" spans="2:16" s="24" customFormat="1" x14ac:dyDescent="0.2">
      <c r="D11" s="25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</row>
    <row r="12" spans="2:16" s="24" customFormat="1" x14ac:dyDescent="0.2">
      <c r="C12" s="24" t="s">
        <v>95</v>
      </c>
      <c r="D12" s="25"/>
      <c r="E12" s="39">
        <f>-'P&amp;L'!H14*0.2</f>
        <v>-751582.07060000009</v>
      </c>
      <c r="F12" s="39">
        <f>-'P&amp;L'!I14*0.2</f>
        <v>-893345.65800000005</v>
      </c>
      <c r="G12" s="39">
        <f>-'P&amp;L'!J14*0.2</f>
        <v>-648824.00399999996</v>
      </c>
      <c r="H12" s="39">
        <f>-'P&amp;L'!K14*0.2</f>
        <v>-341864.538</v>
      </c>
      <c r="I12" s="39">
        <f>-'P&amp;L'!L14*0.2</f>
        <v>-610388.8483999999</v>
      </c>
      <c r="J12" s="39">
        <f>-'P&amp;L'!M14*0.2</f>
        <v>-3036031.656</v>
      </c>
      <c r="K12" s="39">
        <f>-'P&amp;L'!N14*0.2</f>
        <v>-961442.20516000001</v>
      </c>
      <c r="L12" s="39">
        <f>-'P&amp;L'!O14*0.2</f>
        <v>-2929251.1260000002</v>
      </c>
      <c r="M12" s="39">
        <f>-'P&amp;L'!P14*0.2</f>
        <v>-2065156.1279999998</v>
      </c>
      <c r="N12" s="39">
        <f>-'P&amp;L'!Q14*0.2</f>
        <v>-3000000</v>
      </c>
      <c r="O12" s="39">
        <f>-'P&amp;L'!R14*0.2</f>
        <v>-5000000</v>
      </c>
      <c r="P12" s="39">
        <f>-'P&amp;L'!S14*0.2</f>
        <v>-7000000</v>
      </c>
    </row>
    <row r="13" spans="2:16" s="24" customFormat="1" x14ac:dyDescent="0.2">
      <c r="C13" s="25" t="s">
        <v>94</v>
      </c>
      <c r="D13" s="25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ht="13.5" thickBot="1" x14ac:dyDescent="0.25">
      <c r="B14" s="75" t="s">
        <v>97</v>
      </c>
      <c r="C14" s="75"/>
      <c r="D14" s="33"/>
      <c r="E14" s="29">
        <f>+E5+SUM(E8:E13)</f>
        <v>10898123.586284721</v>
      </c>
      <c r="F14" s="29">
        <f>+F5+SUM(F8:F13)</f>
        <v>17982644.58128472</v>
      </c>
      <c r="G14" s="29">
        <f t="shared" ref="G14:P14" si="1">+G5+SUM(G8:G13)</f>
        <v>18181478.199084722</v>
      </c>
      <c r="H14" s="29">
        <f t="shared" si="1"/>
        <v>21029600.53308472</v>
      </c>
      <c r="I14" s="29">
        <f t="shared" si="1"/>
        <v>21520582.296524722</v>
      </c>
      <c r="J14" s="29">
        <f t="shared" si="1"/>
        <v>20118476.315604724</v>
      </c>
      <c r="K14" s="29">
        <f t="shared" si="1"/>
        <v>19628929.597044725</v>
      </c>
      <c r="L14" s="29">
        <f t="shared" si="1"/>
        <v>17564473.814644724</v>
      </c>
      <c r="M14" s="29">
        <f t="shared" si="1"/>
        <v>16053037.752644725</v>
      </c>
      <c r="N14" s="29">
        <f t="shared" si="1"/>
        <v>15875637.752644725</v>
      </c>
      <c r="O14" s="29">
        <f t="shared" si="1"/>
        <v>13698237.752644725</v>
      </c>
      <c r="P14" s="29">
        <f t="shared" si="1"/>
        <v>9520837.7526447251</v>
      </c>
    </row>
    <row r="15" spans="2:16" ht="13.5" thickTop="1" x14ac:dyDescent="0.2"/>
    <row r="16" spans="2:16" s="56" customFormat="1" x14ac:dyDescent="0.2">
      <c r="B16" s="56" t="s">
        <v>131</v>
      </c>
      <c r="E16" s="44" t="str">
        <f>+IF(E14&lt;0,E14,"NO")</f>
        <v>NO</v>
      </c>
      <c r="F16" s="44" t="str">
        <f t="shared" ref="F16:P16" si="2">+IF(F14&lt;0,F14,"NO")</f>
        <v>NO</v>
      </c>
      <c r="G16" s="44" t="str">
        <f t="shared" si="2"/>
        <v>NO</v>
      </c>
      <c r="H16" s="44" t="str">
        <f t="shared" si="2"/>
        <v>NO</v>
      </c>
      <c r="I16" s="44" t="str">
        <f t="shared" si="2"/>
        <v>NO</v>
      </c>
      <c r="J16" s="44" t="str">
        <f t="shared" si="2"/>
        <v>NO</v>
      </c>
      <c r="K16" s="44" t="str">
        <f t="shared" si="2"/>
        <v>NO</v>
      </c>
      <c r="L16" s="44" t="str">
        <f t="shared" si="2"/>
        <v>NO</v>
      </c>
      <c r="M16" s="44" t="str">
        <f t="shared" si="2"/>
        <v>NO</v>
      </c>
      <c r="N16" s="44" t="str">
        <f t="shared" si="2"/>
        <v>NO</v>
      </c>
      <c r="O16" s="44" t="str">
        <f t="shared" si="2"/>
        <v>NO</v>
      </c>
      <c r="P16" s="44" t="str">
        <f t="shared" si="2"/>
        <v>NO</v>
      </c>
    </row>
    <row r="18" spans="10:16" x14ac:dyDescent="0.2">
      <c r="P18" s="30"/>
    </row>
    <row r="20" spans="10:16" x14ac:dyDescent="0.2">
      <c r="J20" s="51"/>
    </row>
  </sheetData>
  <mergeCells count="3">
    <mergeCell ref="B3:E3"/>
    <mergeCell ref="B7:C7"/>
    <mergeCell ref="B14:C14"/>
  </mergeCells>
  <conditionalFormatting sqref="E5:P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AJ3"/>
  <sheetViews>
    <sheetView workbookViewId="0">
      <selection activeCell="AF3" sqref="AF3"/>
    </sheetView>
  </sheetViews>
  <sheetFormatPr defaultRowHeight="12.75" outlineLevelCol="1" x14ac:dyDescent="0.2"/>
  <cols>
    <col min="1" max="1" width="5.7109375" style="57" customWidth="1"/>
    <col min="2" max="2" width="14.85546875" style="57" bestFit="1" customWidth="1"/>
    <col min="3" max="3" width="10.140625" style="57" bestFit="1" customWidth="1"/>
    <col min="4" max="4" width="5.5703125" style="57" customWidth="1"/>
    <col min="5" max="5" width="8.85546875" style="57" bestFit="1" customWidth="1"/>
    <col min="6" max="10" width="2.7109375" style="57" customWidth="1"/>
    <col min="11" max="14" width="2.7109375" style="57" customWidth="1" outlineLevel="1"/>
    <col min="15" max="17" width="2.7109375" style="57" customWidth="1"/>
    <col min="18" max="19" width="4.42578125" style="57" bestFit="1" customWidth="1"/>
    <col min="20" max="20" width="7.140625" style="57" bestFit="1" customWidth="1"/>
    <col min="21" max="21" width="8.42578125" style="57" bestFit="1" customWidth="1"/>
    <col min="22" max="25" width="7.85546875" style="57" bestFit="1" customWidth="1"/>
    <col min="26" max="26" width="8.7109375" style="58" bestFit="1" customWidth="1"/>
    <col min="27" max="27" width="2.7109375" style="59" customWidth="1"/>
    <col min="28" max="28" width="6.42578125" style="57" bestFit="1" customWidth="1"/>
    <col min="29" max="29" width="7.85546875" style="57" customWidth="1"/>
    <col min="30" max="30" width="8.28515625" style="57" customWidth="1"/>
    <col min="31" max="31" width="8.7109375" style="57" bestFit="1" customWidth="1"/>
    <col min="32" max="32" width="8.7109375" style="57" customWidth="1"/>
    <col min="33" max="33" width="6.42578125" style="57" bestFit="1" customWidth="1"/>
    <col min="34" max="34" width="7.85546875" style="57" bestFit="1" customWidth="1"/>
    <col min="35" max="16384" width="9.140625" style="57"/>
  </cols>
  <sheetData>
    <row r="1" spans="1:36" x14ac:dyDescent="0.2">
      <c r="AB1" s="60">
        <v>0.1</v>
      </c>
      <c r="AC1" s="60">
        <v>0.05</v>
      </c>
    </row>
    <row r="2" spans="1:36" ht="229.5" x14ac:dyDescent="0.2">
      <c r="A2" s="57" t="s">
        <v>227</v>
      </c>
      <c r="B2" s="57" t="s">
        <v>228</v>
      </c>
      <c r="C2" s="57" t="s">
        <v>229</v>
      </c>
      <c r="D2" s="57" t="s">
        <v>230</v>
      </c>
      <c r="E2" s="57" t="s">
        <v>231</v>
      </c>
      <c r="G2" s="61" t="s">
        <v>232</v>
      </c>
      <c r="H2" s="61" t="s">
        <v>233</v>
      </c>
      <c r="I2" s="61" t="s">
        <v>234</v>
      </c>
      <c r="J2" s="61" t="s">
        <v>235</v>
      </c>
      <c r="K2" s="61" t="s">
        <v>236</v>
      </c>
      <c r="L2" s="61" t="s">
        <v>237</v>
      </c>
      <c r="M2" s="61" t="s">
        <v>238</v>
      </c>
      <c r="N2" s="61" t="s">
        <v>237</v>
      </c>
      <c r="O2" s="61"/>
      <c r="P2" s="61" t="s">
        <v>239</v>
      </c>
      <c r="R2" s="57">
        <v>2009</v>
      </c>
      <c r="S2" s="57">
        <v>2010</v>
      </c>
      <c r="T2" s="57">
        <v>2011</v>
      </c>
      <c r="U2" s="57">
        <v>2012</v>
      </c>
      <c r="V2" s="57">
        <v>2013</v>
      </c>
      <c r="W2" s="57">
        <v>2014</v>
      </c>
      <c r="X2" s="57">
        <v>2015</v>
      </c>
      <c r="Y2" s="57">
        <v>2016</v>
      </c>
      <c r="Z2" s="58" t="s">
        <v>240</v>
      </c>
      <c r="AB2" s="61" t="s">
        <v>241</v>
      </c>
      <c r="AC2" s="61" t="s">
        <v>242</v>
      </c>
      <c r="AD2" s="61" t="s">
        <v>243</v>
      </c>
      <c r="AE2" s="61" t="s">
        <v>244</v>
      </c>
      <c r="AF2" s="61" t="s">
        <v>245</v>
      </c>
      <c r="AG2" s="61" t="s">
        <v>246</v>
      </c>
      <c r="AH2" s="57" t="s">
        <v>247</v>
      </c>
      <c r="AI2" s="57" t="s">
        <v>248</v>
      </c>
    </row>
    <row r="3" spans="1:36" x14ac:dyDescent="0.2">
      <c r="A3" s="57">
        <v>16</v>
      </c>
      <c r="B3" s="57" t="s">
        <v>253</v>
      </c>
      <c r="C3" s="57" t="s">
        <v>254</v>
      </c>
      <c r="D3" s="57" t="s">
        <v>249</v>
      </c>
      <c r="E3" s="57" t="s">
        <v>250</v>
      </c>
      <c r="G3" s="63" t="s">
        <v>251</v>
      </c>
      <c r="H3" s="63" t="s">
        <v>251</v>
      </c>
      <c r="I3" s="63" t="s">
        <v>251</v>
      </c>
      <c r="J3" s="63" t="s">
        <v>251</v>
      </c>
      <c r="K3" s="62" t="s">
        <v>255</v>
      </c>
      <c r="L3" s="62" t="s">
        <v>252</v>
      </c>
      <c r="M3" s="62" t="s">
        <v>254</v>
      </c>
      <c r="N3" s="62" t="s">
        <v>252</v>
      </c>
      <c r="R3" s="64"/>
      <c r="S3" s="64"/>
      <c r="T3" s="67">
        <v>-627378</v>
      </c>
      <c r="U3" s="67">
        <v>-1854537.2100000004</v>
      </c>
      <c r="V3" s="67">
        <v>5231898.8469640166</v>
      </c>
      <c r="W3" s="67">
        <v>2034738.8680597281</v>
      </c>
      <c r="X3" s="67">
        <v>5284745.5171897085</v>
      </c>
      <c r="Y3" s="64">
        <v>7327015.9096530927</v>
      </c>
      <c r="Z3" s="65">
        <f>SUM(R3:Y3)</f>
        <v>17396483.931866545</v>
      </c>
      <c r="AA3" s="66"/>
      <c r="AB3" s="64"/>
      <c r="AC3" s="64"/>
      <c r="AD3" s="64"/>
      <c r="AE3" s="67">
        <f>+SUM(T3:X3)</f>
        <v>10069468.022213452</v>
      </c>
      <c r="AF3" s="64">
        <v>1000000</v>
      </c>
      <c r="AH3" s="64">
        <v>5977787</v>
      </c>
      <c r="AI3" s="67">
        <f>+AE3*0.15</f>
        <v>1510420.2033320176</v>
      </c>
      <c r="AJ3" s="57" t="s">
        <v>256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11"/>
  <sheetViews>
    <sheetView zoomScale="80" zoomScaleNormal="80" workbookViewId="0">
      <pane ySplit="1" topLeftCell="A2" activePane="bottomLeft" state="frozen"/>
      <selection pane="bottomLeft" activeCell="D2" sqref="D2:L6"/>
    </sheetView>
  </sheetViews>
  <sheetFormatPr defaultRowHeight="12.75" x14ac:dyDescent="0.2"/>
  <cols>
    <col min="1" max="1" width="18.140625" style="47" customWidth="1"/>
    <col min="2" max="2" width="11.5703125" style="47" bestFit="1" customWidth="1"/>
    <col min="3" max="3" width="38.85546875" style="47" bestFit="1" customWidth="1"/>
    <col min="4" max="5" width="11.5703125" style="48" bestFit="1" customWidth="1"/>
    <col min="6" max="6" width="10.5703125" style="48" bestFit="1" customWidth="1"/>
    <col min="7" max="9" width="11.5703125" style="48" bestFit="1" customWidth="1"/>
    <col min="10" max="10" width="10.5703125" style="48" bestFit="1" customWidth="1"/>
    <col min="11" max="12" width="11.5703125" style="48" bestFit="1" customWidth="1"/>
    <col min="13" max="15" width="9.140625" style="48" customWidth="1"/>
    <col min="16" max="16384" width="9.140625" style="47"/>
  </cols>
  <sheetData>
    <row r="1" spans="1:15" x14ac:dyDescent="0.2">
      <c r="A1" s="47" t="s">
        <v>98</v>
      </c>
      <c r="B1" s="47" t="s">
        <v>99</v>
      </c>
      <c r="C1" s="47" t="s">
        <v>100</v>
      </c>
      <c r="D1" s="48" t="s">
        <v>101</v>
      </c>
      <c r="E1" s="48" t="s">
        <v>102</v>
      </c>
      <c r="F1" s="48" t="s">
        <v>103</v>
      </c>
      <c r="G1" s="48" t="s">
        <v>104</v>
      </c>
      <c r="H1" s="48" t="s">
        <v>105</v>
      </c>
      <c r="I1" s="48" t="s">
        <v>106</v>
      </c>
      <c r="J1" s="48" t="s">
        <v>107</v>
      </c>
      <c r="K1" s="48" t="s">
        <v>108</v>
      </c>
      <c r="L1" s="48" t="s">
        <v>109</v>
      </c>
      <c r="M1" s="48" t="s">
        <v>110</v>
      </c>
      <c r="N1" s="48" t="s">
        <v>111</v>
      </c>
      <c r="O1" s="48" t="s">
        <v>112</v>
      </c>
    </row>
    <row r="2" spans="1:15" x14ac:dyDescent="0.2">
      <c r="B2" s="47">
        <v>2126</v>
      </c>
      <c r="C2" s="47" t="s">
        <v>192</v>
      </c>
      <c r="D2" s="48">
        <v>0</v>
      </c>
      <c r="E2" s="48">
        <v>0</v>
      </c>
      <c r="F2" s="48">
        <v>215520.14</v>
      </c>
      <c r="G2" s="48">
        <v>0</v>
      </c>
      <c r="H2" s="48">
        <v>0</v>
      </c>
      <c r="I2" s="48">
        <v>0</v>
      </c>
      <c r="J2" s="48">
        <v>0</v>
      </c>
      <c r="K2" s="48">
        <v>0</v>
      </c>
      <c r="L2" s="48">
        <v>0</v>
      </c>
      <c r="M2" s="48">
        <v>0</v>
      </c>
      <c r="N2" s="48">
        <v>0</v>
      </c>
      <c r="O2" s="48">
        <v>0</v>
      </c>
    </row>
    <row r="3" spans="1:15" x14ac:dyDescent="0.2">
      <c r="A3" s="55"/>
      <c r="B3" s="47">
        <v>215</v>
      </c>
      <c r="C3" s="47" t="s">
        <v>215</v>
      </c>
      <c r="D3" s="48">
        <v>0</v>
      </c>
      <c r="E3" s="48">
        <v>0</v>
      </c>
      <c r="F3" s="48">
        <v>0</v>
      </c>
      <c r="G3" s="48">
        <v>0</v>
      </c>
      <c r="H3" s="48">
        <v>0</v>
      </c>
      <c r="I3" s="48">
        <v>1099456.243</v>
      </c>
      <c r="J3" s="48">
        <v>0</v>
      </c>
      <c r="K3" s="48">
        <v>0</v>
      </c>
      <c r="L3" s="48">
        <v>0</v>
      </c>
      <c r="M3" s="48">
        <v>0</v>
      </c>
      <c r="N3" s="48">
        <v>0</v>
      </c>
      <c r="O3" s="48">
        <v>0</v>
      </c>
    </row>
    <row r="4" spans="1:15" x14ac:dyDescent="0.2">
      <c r="B4" s="47">
        <v>2181</v>
      </c>
      <c r="C4" s="47" t="s">
        <v>193</v>
      </c>
      <c r="D4" s="48">
        <v>0</v>
      </c>
      <c r="E4" s="48">
        <v>0</v>
      </c>
      <c r="F4" s="48">
        <v>23331.68</v>
      </c>
      <c r="G4" s="48">
        <v>0</v>
      </c>
      <c r="H4" s="48">
        <v>0</v>
      </c>
      <c r="I4" s="48">
        <v>103000</v>
      </c>
      <c r="J4" s="48">
        <v>0</v>
      </c>
      <c r="K4" s="48">
        <v>0</v>
      </c>
      <c r="L4" s="48">
        <v>60999.99</v>
      </c>
      <c r="M4" s="48">
        <v>0</v>
      </c>
      <c r="N4" s="48">
        <v>0</v>
      </c>
      <c r="O4" s="48">
        <v>0</v>
      </c>
    </row>
    <row r="5" spans="1:15" x14ac:dyDescent="0.2">
      <c r="B5" s="47">
        <v>2182</v>
      </c>
      <c r="C5" s="47" t="s">
        <v>194</v>
      </c>
      <c r="D5" s="48">
        <v>116450</v>
      </c>
      <c r="E5" s="48">
        <v>18600</v>
      </c>
      <c r="F5" s="48">
        <v>168500</v>
      </c>
      <c r="G5" s="48">
        <v>0</v>
      </c>
      <c r="H5" s="48">
        <v>0</v>
      </c>
      <c r="I5" s="48">
        <v>81700</v>
      </c>
      <c r="J5" s="48">
        <v>20800</v>
      </c>
      <c r="K5" s="48">
        <v>0</v>
      </c>
      <c r="L5" s="48">
        <v>12700</v>
      </c>
      <c r="M5" s="48">
        <v>0</v>
      </c>
      <c r="N5" s="48">
        <v>0</v>
      </c>
      <c r="O5" s="48">
        <v>0</v>
      </c>
    </row>
    <row r="6" spans="1:15" x14ac:dyDescent="0.2">
      <c r="B6" s="47">
        <v>2188</v>
      </c>
      <c r="C6" s="47" t="s">
        <v>127</v>
      </c>
      <c r="D6" s="48">
        <v>0</v>
      </c>
      <c r="E6" s="48">
        <v>71040</v>
      </c>
      <c r="F6" s="48">
        <v>28910.455000000002</v>
      </c>
      <c r="G6" s="48">
        <v>39916.67</v>
      </c>
      <c r="H6" s="48">
        <v>26583.34</v>
      </c>
      <c r="I6" s="48">
        <v>0</v>
      </c>
      <c r="J6" s="48">
        <v>0</v>
      </c>
      <c r="K6" s="48">
        <v>91440.16</v>
      </c>
      <c r="L6" s="48">
        <v>12000</v>
      </c>
      <c r="M6" s="48">
        <v>0</v>
      </c>
      <c r="N6" s="48">
        <v>0</v>
      </c>
      <c r="O6" s="48">
        <v>0</v>
      </c>
    </row>
    <row r="7" spans="1:15" x14ac:dyDescent="0.2">
      <c r="B7" s="47">
        <v>311</v>
      </c>
      <c r="C7" s="47" t="s">
        <v>164</v>
      </c>
      <c r="D7" s="48">
        <v>1784.71</v>
      </c>
      <c r="E7" s="48">
        <v>-85237.52</v>
      </c>
      <c r="F7" s="48">
        <v>63361.37</v>
      </c>
      <c r="G7" s="48">
        <v>-95460.42</v>
      </c>
      <c r="H7" s="48">
        <v>-10057.02</v>
      </c>
      <c r="I7" s="48">
        <v>79165.740000000005</v>
      </c>
      <c r="J7" s="48">
        <v>0</v>
      </c>
      <c r="K7" s="48">
        <v>149138.16399999999</v>
      </c>
      <c r="L7" s="48">
        <v>-163548.69</v>
      </c>
      <c r="M7" s="48">
        <v>0</v>
      </c>
      <c r="N7" s="48">
        <v>0</v>
      </c>
      <c r="O7" s="48">
        <v>0</v>
      </c>
    </row>
    <row r="8" spans="1:15" x14ac:dyDescent="0.2">
      <c r="B8" s="47">
        <v>351</v>
      </c>
      <c r="C8" s="47" t="s">
        <v>132</v>
      </c>
      <c r="D8" s="48">
        <v>11118321.48</v>
      </c>
      <c r="E8" s="48">
        <v>39295673.170000002</v>
      </c>
      <c r="F8" s="48">
        <v>1000081.575</v>
      </c>
      <c r="G8" s="48">
        <v>13666706.859999999</v>
      </c>
      <c r="H8" s="48">
        <v>3410963.6740000001</v>
      </c>
      <c r="I8" s="48">
        <v>-3749779.7110000001</v>
      </c>
      <c r="J8" s="48">
        <v>-598410.52</v>
      </c>
      <c r="K8" s="48">
        <v>-7267787.0789999999</v>
      </c>
      <c r="L8" s="48">
        <v>-3519503.0070000002</v>
      </c>
      <c r="M8" s="48">
        <v>0</v>
      </c>
      <c r="N8" s="48">
        <v>0</v>
      </c>
      <c r="O8" s="48">
        <v>0</v>
      </c>
    </row>
    <row r="9" spans="1:15" x14ac:dyDescent="0.2">
      <c r="B9" s="47">
        <v>375</v>
      </c>
      <c r="C9" s="47" t="s">
        <v>195</v>
      </c>
      <c r="D9" s="48">
        <v>58873.14</v>
      </c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48">
        <v>0</v>
      </c>
      <c r="K9" s="48">
        <v>0</v>
      </c>
      <c r="L9" s="48">
        <v>0</v>
      </c>
      <c r="M9" s="48">
        <v>0</v>
      </c>
      <c r="N9" s="48">
        <v>0</v>
      </c>
      <c r="O9" s="48">
        <v>0</v>
      </c>
    </row>
    <row r="10" spans="1:15" x14ac:dyDescent="0.2">
      <c r="B10" s="47">
        <v>401</v>
      </c>
      <c r="C10" s="47" t="s">
        <v>113</v>
      </c>
      <c r="D10" s="48">
        <v>-1941979.7549999999</v>
      </c>
      <c r="E10" s="48">
        <v>-33819169.530000001</v>
      </c>
      <c r="F10" s="48">
        <v>-219174.4595</v>
      </c>
      <c r="G10" s="48">
        <v>-10343090</v>
      </c>
      <c r="H10" s="48">
        <v>5698965.0829999996</v>
      </c>
      <c r="I10" s="48">
        <v>-6714035.4029999999</v>
      </c>
      <c r="J10" s="48">
        <v>8577780.4670000002</v>
      </c>
      <c r="K10" s="48">
        <v>-1190019.9380000001</v>
      </c>
      <c r="L10" s="48">
        <v>-3628788.61</v>
      </c>
      <c r="M10" s="48">
        <v>0</v>
      </c>
      <c r="N10" s="48">
        <v>0</v>
      </c>
      <c r="O10" s="48">
        <v>0</v>
      </c>
    </row>
    <row r="11" spans="1:15" x14ac:dyDescent="0.2">
      <c r="B11" s="47">
        <v>411</v>
      </c>
      <c r="C11" s="47" t="s">
        <v>114</v>
      </c>
      <c r="D11" s="48">
        <v>450661.62</v>
      </c>
      <c r="E11" s="48">
        <v>1102769.0900000001</v>
      </c>
      <c r="F11" s="48">
        <v>-20239.89</v>
      </c>
      <c r="G11" s="48">
        <v>455542.17</v>
      </c>
      <c r="H11" s="48">
        <v>-12586059.119999999</v>
      </c>
      <c r="I11" s="48">
        <v>11251110.189999999</v>
      </c>
      <c r="J11" s="48">
        <v>3455137.36</v>
      </c>
      <c r="K11" s="48">
        <v>11698485.210000001</v>
      </c>
      <c r="L11" s="48">
        <v>10603445.68</v>
      </c>
      <c r="M11" s="48">
        <v>0</v>
      </c>
      <c r="N11" s="48">
        <v>0</v>
      </c>
      <c r="O11" s="48">
        <v>0</v>
      </c>
    </row>
    <row r="12" spans="1:15" x14ac:dyDescent="0.2">
      <c r="B12" s="47">
        <v>418</v>
      </c>
      <c r="C12" s="47" t="s">
        <v>165</v>
      </c>
      <c r="D12" s="48">
        <v>-226500.45300000001</v>
      </c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  <c r="O12" s="48">
        <v>0</v>
      </c>
    </row>
    <row r="13" spans="1:15" x14ac:dyDescent="0.2">
      <c r="B13" s="47">
        <v>421</v>
      </c>
      <c r="C13" s="47" t="s">
        <v>115</v>
      </c>
      <c r="D13" s="48">
        <v>-704226</v>
      </c>
      <c r="E13" s="48">
        <v>-51768</v>
      </c>
      <c r="F13" s="48">
        <v>262308</v>
      </c>
      <c r="G13" s="48">
        <v>-27338</v>
      </c>
      <c r="H13" s="48">
        <v>-86074</v>
      </c>
      <c r="I13" s="48">
        <v>-9719</v>
      </c>
      <c r="J13" s="48">
        <v>36359</v>
      </c>
      <c r="K13" s="48">
        <v>-11426</v>
      </c>
      <c r="L13" s="48">
        <v>-655913</v>
      </c>
      <c r="M13" s="48">
        <v>0</v>
      </c>
      <c r="N13" s="48">
        <v>0</v>
      </c>
      <c r="O13" s="48">
        <v>0</v>
      </c>
    </row>
    <row r="14" spans="1:15" x14ac:dyDescent="0.2">
      <c r="B14" s="47">
        <v>431</v>
      </c>
      <c r="C14" s="47" t="s">
        <v>116</v>
      </c>
      <c r="D14" s="48">
        <v>241</v>
      </c>
      <c r="E14" s="48">
        <v>-11513</v>
      </c>
      <c r="F14" s="48">
        <v>30755</v>
      </c>
      <c r="G14" s="48">
        <v>841</v>
      </c>
      <c r="H14" s="48">
        <v>-30111</v>
      </c>
      <c r="I14" s="48">
        <v>-3807</v>
      </c>
      <c r="J14" s="48">
        <v>-5068</v>
      </c>
      <c r="K14" s="48">
        <v>-5940</v>
      </c>
      <c r="L14" s="48">
        <v>-210574</v>
      </c>
      <c r="M14" s="48">
        <v>0</v>
      </c>
      <c r="N14" s="48">
        <v>0</v>
      </c>
      <c r="O14" s="48">
        <v>0</v>
      </c>
    </row>
    <row r="15" spans="1:15" x14ac:dyDescent="0.2">
      <c r="B15" s="47">
        <v>438</v>
      </c>
      <c r="C15" s="47" t="s">
        <v>196</v>
      </c>
      <c r="D15" s="48">
        <v>0</v>
      </c>
      <c r="E15" s="48">
        <v>0</v>
      </c>
      <c r="F15" s="48">
        <v>0</v>
      </c>
      <c r="G15" s="48">
        <v>0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  <c r="O15" s="48">
        <v>0</v>
      </c>
    </row>
    <row r="16" spans="1:15" x14ac:dyDescent="0.2">
      <c r="B16" s="47">
        <v>442</v>
      </c>
      <c r="C16" s="47" t="s">
        <v>176</v>
      </c>
      <c r="D16" s="48">
        <v>1</v>
      </c>
      <c r="E16" s="48">
        <v>-1434</v>
      </c>
      <c r="F16" s="48">
        <v>576</v>
      </c>
      <c r="G16" s="48">
        <v>1</v>
      </c>
      <c r="H16" s="48">
        <v>1</v>
      </c>
      <c r="I16" s="48">
        <v>0</v>
      </c>
      <c r="J16" s="48">
        <v>21215</v>
      </c>
      <c r="K16" s="48">
        <v>-7500</v>
      </c>
      <c r="L16" s="48">
        <v>-14302</v>
      </c>
      <c r="M16" s="48">
        <v>0</v>
      </c>
      <c r="N16" s="48">
        <v>0</v>
      </c>
      <c r="O16" s="48">
        <v>0</v>
      </c>
    </row>
    <row r="17" spans="1:15" x14ac:dyDescent="0.2">
      <c r="B17" s="47">
        <v>444</v>
      </c>
      <c r="C17" s="47" t="s">
        <v>133</v>
      </c>
      <c r="D17" s="48">
        <v>0</v>
      </c>
      <c r="E17" s="48">
        <v>181002</v>
      </c>
      <c r="F17" s="48">
        <v>0</v>
      </c>
      <c r="G17" s="48">
        <v>0</v>
      </c>
      <c r="H17" s="48">
        <v>315000</v>
      </c>
      <c r="I17" s="48">
        <v>295618</v>
      </c>
      <c r="J17" s="48">
        <v>0</v>
      </c>
      <c r="K17" s="48">
        <v>150000</v>
      </c>
      <c r="L17" s="48">
        <v>0</v>
      </c>
      <c r="M17" s="48">
        <v>0</v>
      </c>
      <c r="N17" s="48">
        <v>0</v>
      </c>
      <c r="O17" s="48">
        <v>0</v>
      </c>
    </row>
    <row r="18" spans="1:15" x14ac:dyDescent="0.2">
      <c r="B18" s="47">
        <v>4450001</v>
      </c>
      <c r="C18" s="47" t="s">
        <v>134</v>
      </c>
      <c r="D18" s="48">
        <v>2913908.7259999998</v>
      </c>
      <c r="E18" s="48">
        <v>8151639.0049999999</v>
      </c>
      <c r="F18" s="48">
        <v>601796.3308</v>
      </c>
      <c r="G18" s="48">
        <v>3180349.28</v>
      </c>
      <c r="H18" s="48">
        <v>1086708.6980000001</v>
      </c>
      <c r="I18" s="48">
        <v>1751864.51</v>
      </c>
      <c r="J18" s="48">
        <v>440974.41</v>
      </c>
      <c r="K18" s="48">
        <v>750118.46</v>
      </c>
      <c r="L18" s="48">
        <v>425815.22</v>
      </c>
      <c r="M18" s="48">
        <v>0</v>
      </c>
      <c r="N18" s="48">
        <v>0</v>
      </c>
      <c r="O18" s="48">
        <v>0</v>
      </c>
    </row>
    <row r="19" spans="1:15" x14ac:dyDescent="0.2">
      <c r="B19" s="47">
        <v>4450002</v>
      </c>
      <c r="C19" s="47" t="s">
        <v>135</v>
      </c>
      <c r="D19" s="48">
        <v>-520305.114</v>
      </c>
      <c r="E19" s="48">
        <v>-329712.7</v>
      </c>
      <c r="F19" s="48">
        <v>-648483.39</v>
      </c>
      <c r="G19" s="48">
        <v>-341707.48</v>
      </c>
      <c r="H19" s="48">
        <v>-604581.72759999998</v>
      </c>
      <c r="I19" s="48">
        <v>-994019.03099999996</v>
      </c>
      <c r="J19" s="48">
        <v>-1002949.374</v>
      </c>
      <c r="K19" s="48">
        <v>-2927056.7820000001</v>
      </c>
      <c r="L19" s="48">
        <v>-1541003.5179999999</v>
      </c>
      <c r="M19" s="48">
        <v>0</v>
      </c>
      <c r="N19" s="48">
        <v>0</v>
      </c>
      <c r="O19" s="48">
        <v>0</v>
      </c>
    </row>
    <row r="20" spans="1:15" x14ac:dyDescent="0.2">
      <c r="B20" s="47">
        <v>4460001</v>
      </c>
      <c r="C20" s="47" t="s">
        <v>136</v>
      </c>
      <c r="D20" s="48">
        <v>66217.100000000006</v>
      </c>
      <c r="E20" s="48">
        <v>-36183</v>
      </c>
      <c r="F20" s="48">
        <v>11326</v>
      </c>
      <c r="G20" s="48">
        <v>6118</v>
      </c>
      <c r="H20" s="48">
        <v>109203</v>
      </c>
      <c r="I20" s="48">
        <v>72523.83</v>
      </c>
      <c r="J20" s="48">
        <v>2969</v>
      </c>
      <c r="K20" s="48">
        <v>8625</v>
      </c>
      <c r="L20" s="48">
        <v>-314317</v>
      </c>
      <c r="M20" s="48">
        <v>0</v>
      </c>
      <c r="N20" s="48">
        <v>0</v>
      </c>
      <c r="O20" s="48">
        <v>0</v>
      </c>
    </row>
    <row r="21" spans="1:15" x14ac:dyDescent="0.2">
      <c r="B21" s="47">
        <v>4460003</v>
      </c>
      <c r="C21" s="47" t="s">
        <v>177</v>
      </c>
      <c r="D21" s="48">
        <v>-10054.1</v>
      </c>
      <c r="E21" s="48">
        <v>0</v>
      </c>
      <c r="F21" s="48">
        <v>0</v>
      </c>
      <c r="G21" s="48">
        <v>0</v>
      </c>
      <c r="H21" s="48">
        <v>0</v>
      </c>
      <c r="I21" s="48">
        <v>0</v>
      </c>
      <c r="J21" s="48">
        <v>0</v>
      </c>
      <c r="K21" s="48">
        <v>0</v>
      </c>
      <c r="L21" s="48">
        <v>0</v>
      </c>
      <c r="M21" s="48">
        <v>0</v>
      </c>
      <c r="N21" s="48">
        <v>0</v>
      </c>
      <c r="O21" s="48">
        <v>0</v>
      </c>
    </row>
    <row r="22" spans="1:15" x14ac:dyDescent="0.2">
      <c r="B22" s="47">
        <v>4469002</v>
      </c>
      <c r="C22" s="47" t="s">
        <v>197</v>
      </c>
      <c r="D22" s="48">
        <v>0</v>
      </c>
      <c r="E22" s="48">
        <v>0</v>
      </c>
      <c r="F22" s="48">
        <v>-30000</v>
      </c>
      <c r="G22" s="48">
        <v>30000</v>
      </c>
      <c r="H22" s="48">
        <v>60000</v>
      </c>
      <c r="I22" s="48">
        <v>0</v>
      </c>
      <c r="J22" s="48">
        <v>0</v>
      </c>
      <c r="K22" s="48">
        <v>0</v>
      </c>
      <c r="L22" s="48">
        <v>0</v>
      </c>
      <c r="M22" s="48">
        <v>0</v>
      </c>
      <c r="N22" s="48">
        <v>0</v>
      </c>
      <c r="O22" s="48">
        <v>0</v>
      </c>
    </row>
    <row r="23" spans="1:15" x14ac:dyDescent="0.2">
      <c r="A23" s="55"/>
      <c r="B23" s="47">
        <v>4469004</v>
      </c>
      <c r="C23" s="47" t="s">
        <v>216</v>
      </c>
      <c r="D23" s="48">
        <v>0</v>
      </c>
      <c r="E23" s="48">
        <v>0</v>
      </c>
      <c r="F23" s="48">
        <v>0</v>
      </c>
      <c r="G23" s="48">
        <v>0</v>
      </c>
      <c r="H23" s="48">
        <v>15273</v>
      </c>
      <c r="I23" s="48">
        <v>0</v>
      </c>
      <c r="J23" s="48">
        <v>0</v>
      </c>
      <c r="K23" s="48">
        <v>0</v>
      </c>
      <c r="L23" s="48">
        <v>0</v>
      </c>
      <c r="M23" s="48">
        <v>0</v>
      </c>
      <c r="N23" s="48">
        <v>0</v>
      </c>
      <c r="O23" s="48">
        <v>0</v>
      </c>
    </row>
    <row r="24" spans="1:15" x14ac:dyDescent="0.2">
      <c r="B24" s="47">
        <v>4469005</v>
      </c>
      <c r="C24" s="47" t="s">
        <v>178</v>
      </c>
      <c r="D24" s="48">
        <v>-10295</v>
      </c>
      <c r="E24" s="48">
        <v>-8978</v>
      </c>
      <c r="F24" s="48">
        <v>-10297</v>
      </c>
      <c r="G24" s="48">
        <v>-5967</v>
      </c>
      <c r="H24" s="48">
        <v>-5966</v>
      </c>
      <c r="I24" s="48">
        <v>-4271</v>
      </c>
      <c r="J24" s="48">
        <v>-2917</v>
      </c>
      <c r="K24" s="48">
        <v>-8769</v>
      </c>
      <c r="L24" s="48">
        <v>-5874</v>
      </c>
      <c r="M24" s="48">
        <v>0</v>
      </c>
      <c r="N24" s="48">
        <v>0</v>
      </c>
      <c r="O24" s="48">
        <v>0</v>
      </c>
    </row>
    <row r="25" spans="1:15" x14ac:dyDescent="0.2">
      <c r="B25" s="47">
        <v>4469006</v>
      </c>
      <c r="C25" s="47" t="s">
        <v>198</v>
      </c>
      <c r="D25" s="48">
        <v>0</v>
      </c>
      <c r="E25" s="48">
        <v>0</v>
      </c>
      <c r="F25" s="48">
        <v>-15000</v>
      </c>
      <c r="G25" s="48">
        <v>15000</v>
      </c>
      <c r="H25" s="48">
        <v>0</v>
      </c>
      <c r="I25" s="48">
        <v>0</v>
      </c>
      <c r="J25" s="48">
        <v>0</v>
      </c>
      <c r="K25" s="48">
        <v>0</v>
      </c>
      <c r="L25" s="48">
        <v>0</v>
      </c>
      <c r="M25" s="48">
        <v>0</v>
      </c>
      <c r="N25" s="48">
        <v>0</v>
      </c>
      <c r="O25" s="48">
        <v>0</v>
      </c>
    </row>
    <row r="26" spans="1:15" x14ac:dyDescent="0.2">
      <c r="B26" s="47">
        <v>449</v>
      </c>
      <c r="C26" s="47" t="s">
        <v>137</v>
      </c>
      <c r="D26" s="48">
        <v>-80</v>
      </c>
      <c r="E26" s="48">
        <v>6894</v>
      </c>
      <c r="F26" s="48">
        <v>-80</v>
      </c>
      <c r="G26" s="48">
        <v>-80</v>
      </c>
      <c r="H26" s="48">
        <v>-80</v>
      </c>
      <c r="I26" s="48">
        <v>-80</v>
      </c>
      <c r="J26" s="48">
        <v>-80</v>
      </c>
      <c r="K26" s="48">
        <v>0</v>
      </c>
      <c r="L26" s="48">
        <v>0</v>
      </c>
      <c r="M26" s="48">
        <v>0</v>
      </c>
      <c r="N26" s="48">
        <v>0</v>
      </c>
      <c r="O26" s="48">
        <v>0</v>
      </c>
    </row>
    <row r="27" spans="1:15" x14ac:dyDescent="0.2">
      <c r="B27" s="47">
        <v>4550001</v>
      </c>
      <c r="C27" s="47" t="s">
        <v>138</v>
      </c>
      <c r="D27" s="48">
        <v>-1012.71</v>
      </c>
      <c r="E27" s="48">
        <v>0</v>
      </c>
      <c r="F27" s="48">
        <v>0</v>
      </c>
      <c r="G27" s="48">
        <v>0</v>
      </c>
      <c r="H27" s="48">
        <v>0</v>
      </c>
      <c r="I27" s="48">
        <v>0</v>
      </c>
      <c r="J27" s="48">
        <v>0</v>
      </c>
      <c r="K27" s="48">
        <v>0</v>
      </c>
      <c r="L27" s="48">
        <v>0</v>
      </c>
      <c r="M27" s="48">
        <v>0</v>
      </c>
      <c r="N27" s="48">
        <v>0</v>
      </c>
      <c r="O27" s="48">
        <v>0</v>
      </c>
    </row>
    <row r="28" spans="1:15" x14ac:dyDescent="0.2">
      <c r="B28" s="47">
        <v>467</v>
      </c>
      <c r="C28" s="47" t="s">
        <v>159</v>
      </c>
      <c r="D28" s="48">
        <v>-13442730.619999999</v>
      </c>
      <c r="E28" s="48">
        <v>-3305149</v>
      </c>
      <c r="F28" s="48">
        <v>-4057890.18</v>
      </c>
      <c r="G28" s="48">
        <v>-9596654</v>
      </c>
      <c r="H28" s="48">
        <v>-56365.66</v>
      </c>
      <c r="I28" s="48">
        <v>8947071.4199999999</v>
      </c>
      <c r="J28" s="48">
        <v>-7185186.6799999997</v>
      </c>
      <c r="K28" s="48">
        <v>-284138.2</v>
      </c>
      <c r="L28" s="48">
        <v>842240</v>
      </c>
      <c r="M28" s="48">
        <v>0</v>
      </c>
      <c r="N28" s="48">
        <v>0</v>
      </c>
      <c r="O28" s="48">
        <v>0</v>
      </c>
    </row>
    <row r="29" spans="1:15" x14ac:dyDescent="0.2">
      <c r="B29" s="47">
        <v>4680001</v>
      </c>
      <c r="C29" s="47" t="s">
        <v>179</v>
      </c>
      <c r="D29" s="48">
        <v>72216</v>
      </c>
      <c r="E29" s="48">
        <v>72481.5</v>
      </c>
      <c r="F29" s="48">
        <v>0</v>
      </c>
      <c r="G29" s="48">
        <v>143370</v>
      </c>
      <c r="H29" s="48">
        <v>71154</v>
      </c>
      <c r="I29" s="48">
        <v>71154</v>
      </c>
      <c r="J29" s="48">
        <v>71154</v>
      </c>
      <c r="K29" s="48">
        <v>70293.78</v>
      </c>
      <c r="L29" s="48">
        <v>70092</v>
      </c>
      <c r="M29" s="48">
        <v>0</v>
      </c>
      <c r="N29" s="48">
        <v>0</v>
      </c>
      <c r="O29" s="48">
        <v>0</v>
      </c>
    </row>
    <row r="30" spans="1:15" x14ac:dyDescent="0.2">
      <c r="B30" s="47">
        <v>481</v>
      </c>
      <c r="C30" s="47" t="s">
        <v>180</v>
      </c>
      <c r="D30" s="48">
        <v>300274.33</v>
      </c>
      <c r="E30" s="48">
        <v>0</v>
      </c>
      <c r="F30" s="48">
        <v>0</v>
      </c>
      <c r="G30" s="48">
        <v>0</v>
      </c>
      <c r="H30" s="48">
        <v>0</v>
      </c>
      <c r="I30" s="48">
        <v>0</v>
      </c>
      <c r="J30" s="48">
        <v>0</v>
      </c>
      <c r="K30" s="48">
        <v>0</v>
      </c>
      <c r="L30" s="48">
        <v>0</v>
      </c>
      <c r="M30" s="48">
        <v>0</v>
      </c>
      <c r="N30" s="48">
        <v>0</v>
      </c>
      <c r="O30" s="48">
        <v>0</v>
      </c>
    </row>
    <row r="31" spans="1:15" x14ac:dyDescent="0.2">
      <c r="B31" s="47">
        <v>5121001</v>
      </c>
      <c r="C31" s="47" t="s">
        <v>139</v>
      </c>
      <c r="D31" s="48">
        <v>-33147.69</v>
      </c>
      <c r="E31" s="48">
        <v>32175.96</v>
      </c>
      <c r="F31" s="48">
        <v>-35171.230000000003</v>
      </c>
      <c r="G31" s="48">
        <v>131785.26</v>
      </c>
      <c r="H31" s="48">
        <v>-98161.82</v>
      </c>
      <c r="I31" s="48">
        <v>-29144.560000000001</v>
      </c>
      <c r="J31" s="48">
        <v>8363</v>
      </c>
      <c r="K31" s="48">
        <v>52037.58</v>
      </c>
      <c r="L31" s="48">
        <v>0</v>
      </c>
      <c r="M31" s="48">
        <v>0</v>
      </c>
      <c r="N31" s="48">
        <v>0</v>
      </c>
      <c r="O31" s="48">
        <v>0</v>
      </c>
    </row>
    <row r="32" spans="1:15" x14ac:dyDescent="0.2">
      <c r="B32" s="47">
        <v>5121002</v>
      </c>
      <c r="C32" s="47" t="s">
        <v>217</v>
      </c>
      <c r="D32" s="48">
        <v>-84092.57</v>
      </c>
      <c r="E32" s="48">
        <v>0</v>
      </c>
      <c r="F32" s="48">
        <v>0</v>
      </c>
      <c r="G32" s="48">
        <v>0</v>
      </c>
      <c r="H32" s="48">
        <v>0</v>
      </c>
      <c r="I32" s="48">
        <v>0</v>
      </c>
      <c r="J32" s="48">
        <v>0</v>
      </c>
      <c r="K32" s="48">
        <v>0</v>
      </c>
      <c r="L32" s="48">
        <v>0</v>
      </c>
      <c r="M32" s="48">
        <v>0</v>
      </c>
      <c r="N32" s="48">
        <v>0</v>
      </c>
      <c r="O32" s="48">
        <v>0</v>
      </c>
    </row>
    <row r="33" spans="2:15" x14ac:dyDescent="0.2">
      <c r="B33" s="47">
        <v>5121003</v>
      </c>
      <c r="C33" s="47" t="s">
        <v>140</v>
      </c>
      <c r="D33" s="48">
        <v>950</v>
      </c>
      <c r="E33" s="48">
        <v>-700</v>
      </c>
      <c r="F33" s="48">
        <v>-400</v>
      </c>
      <c r="G33" s="48">
        <v>450</v>
      </c>
      <c r="H33" s="48">
        <v>-591.57000000000005</v>
      </c>
      <c r="I33" s="48">
        <v>5874</v>
      </c>
      <c r="J33" s="48">
        <v>0</v>
      </c>
      <c r="K33" s="48">
        <v>0</v>
      </c>
      <c r="L33" s="48">
        <v>0</v>
      </c>
      <c r="M33" s="48">
        <v>0</v>
      </c>
      <c r="N33" s="48">
        <v>0</v>
      </c>
      <c r="O33" s="48">
        <v>0</v>
      </c>
    </row>
    <row r="34" spans="2:15" x14ac:dyDescent="0.2">
      <c r="B34" s="47">
        <v>5121004</v>
      </c>
      <c r="C34" s="47" t="s">
        <v>181</v>
      </c>
      <c r="D34" s="48">
        <v>-500</v>
      </c>
      <c r="E34" s="48">
        <v>-500</v>
      </c>
      <c r="F34" s="48">
        <v>-500</v>
      </c>
      <c r="G34" s="48">
        <v>-503.17</v>
      </c>
      <c r="H34" s="48">
        <v>-514.1</v>
      </c>
      <c r="I34" s="48">
        <v>-524.36</v>
      </c>
      <c r="J34" s="48">
        <v>0</v>
      </c>
      <c r="K34" s="48">
        <v>0</v>
      </c>
      <c r="L34" s="48">
        <v>0</v>
      </c>
      <c r="M34" s="48">
        <v>0</v>
      </c>
      <c r="N34" s="48">
        <v>0</v>
      </c>
      <c r="O34" s="48">
        <v>0</v>
      </c>
    </row>
    <row r="35" spans="2:15" x14ac:dyDescent="0.2">
      <c r="B35" s="47">
        <v>5121006</v>
      </c>
      <c r="C35" s="47" t="s">
        <v>166</v>
      </c>
      <c r="D35" s="48">
        <v>-250</v>
      </c>
      <c r="E35" s="48">
        <v>-250</v>
      </c>
      <c r="F35" s="48">
        <v>-250</v>
      </c>
      <c r="G35" s="48">
        <v>-250</v>
      </c>
      <c r="H35" s="48">
        <v>87366.22</v>
      </c>
      <c r="I35" s="48">
        <v>-115250</v>
      </c>
      <c r="J35" s="48">
        <v>632.32000000000005</v>
      </c>
      <c r="K35" s="48">
        <v>0</v>
      </c>
      <c r="L35" s="48">
        <v>0</v>
      </c>
      <c r="M35" s="48">
        <v>0</v>
      </c>
      <c r="N35" s="48">
        <v>0</v>
      </c>
      <c r="O35" s="48">
        <v>0</v>
      </c>
    </row>
    <row r="36" spans="2:15" x14ac:dyDescent="0.2">
      <c r="B36" s="47">
        <v>5121007</v>
      </c>
      <c r="C36" s="47" t="s">
        <v>182</v>
      </c>
      <c r="D36" s="48">
        <v>-3400</v>
      </c>
      <c r="E36" s="48">
        <v>-3400</v>
      </c>
      <c r="F36" s="48">
        <v>4606.59</v>
      </c>
      <c r="G36" s="48">
        <v>-3825.57</v>
      </c>
      <c r="H36" s="48">
        <v>62054.65</v>
      </c>
      <c r="I36" s="48">
        <v>-60267.62</v>
      </c>
      <c r="J36" s="48">
        <v>46636</v>
      </c>
      <c r="K36" s="48">
        <v>-2136</v>
      </c>
      <c r="L36" s="48">
        <v>0</v>
      </c>
      <c r="M36" s="48">
        <v>0</v>
      </c>
      <c r="N36" s="48">
        <v>0</v>
      </c>
      <c r="O36" s="48">
        <v>0</v>
      </c>
    </row>
    <row r="37" spans="2:15" x14ac:dyDescent="0.2">
      <c r="B37" s="47">
        <v>5121008</v>
      </c>
      <c r="C37" s="47" t="s">
        <v>199</v>
      </c>
      <c r="D37" s="48">
        <v>18550.580000000002</v>
      </c>
      <c r="E37" s="48">
        <v>-14707.11</v>
      </c>
      <c r="F37" s="48">
        <v>30748</v>
      </c>
      <c r="G37" s="48">
        <v>-6218.1</v>
      </c>
      <c r="H37" s="48">
        <v>-8574.25</v>
      </c>
      <c r="I37" s="48">
        <v>-7137.18</v>
      </c>
      <c r="J37" s="48">
        <v>-17691.580000000002</v>
      </c>
      <c r="K37" s="48">
        <v>41864</v>
      </c>
      <c r="L37" s="48">
        <v>0</v>
      </c>
      <c r="M37" s="48">
        <v>0</v>
      </c>
      <c r="N37" s="48">
        <v>0</v>
      </c>
      <c r="O37" s="48">
        <v>0</v>
      </c>
    </row>
    <row r="38" spans="2:15" x14ac:dyDescent="0.2">
      <c r="B38" s="47">
        <v>5121009</v>
      </c>
      <c r="C38" s="47" t="s">
        <v>200</v>
      </c>
      <c r="D38" s="48">
        <v>0</v>
      </c>
      <c r="E38" s="48">
        <v>0</v>
      </c>
      <c r="F38" s="48">
        <v>0</v>
      </c>
      <c r="G38" s="48">
        <v>0</v>
      </c>
      <c r="H38" s="48">
        <v>0</v>
      </c>
      <c r="I38" s="48">
        <v>0</v>
      </c>
      <c r="J38" s="48">
        <v>0</v>
      </c>
      <c r="K38" s="48">
        <v>0</v>
      </c>
      <c r="L38" s="48">
        <v>0</v>
      </c>
      <c r="M38" s="48">
        <v>0</v>
      </c>
      <c r="N38" s="48">
        <v>0</v>
      </c>
      <c r="O38" s="48">
        <v>0</v>
      </c>
    </row>
    <row r="39" spans="2:15" x14ac:dyDescent="0.2">
      <c r="B39" s="47">
        <v>5124101</v>
      </c>
      <c r="C39" s="47" t="s">
        <v>141</v>
      </c>
      <c r="D39" s="48">
        <v>258730.25</v>
      </c>
      <c r="E39" s="48">
        <v>-259808.87</v>
      </c>
      <c r="F39" s="48">
        <v>-4427.95</v>
      </c>
      <c r="G39" s="48">
        <v>18743</v>
      </c>
      <c r="H39" s="48">
        <v>-13225</v>
      </c>
      <c r="I39" s="48">
        <v>-335</v>
      </c>
      <c r="J39" s="48">
        <v>5888</v>
      </c>
      <c r="K39" s="48">
        <v>16222.16</v>
      </c>
      <c r="L39" s="48">
        <v>0</v>
      </c>
      <c r="M39" s="48">
        <v>0</v>
      </c>
      <c r="N39" s="48">
        <v>0</v>
      </c>
      <c r="O39" s="48">
        <v>0</v>
      </c>
    </row>
    <row r="40" spans="2:15" x14ac:dyDescent="0.2">
      <c r="B40" s="47">
        <v>5124103</v>
      </c>
      <c r="C40" s="47" t="s">
        <v>142</v>
      </c>
      <c r="D40" s="48">
        <v>5637.5</v>
      </c>
      <c r="E40" s="48">
        <v>-409.5</v>
      </c>
      <c r="F40" s="48">
        <v>-1087.5</v>
      </c>
      <c r="G40" s="48">
        <v>-402</v>
      </c>
      <c r="H40" s="48">
        <v>-402</v>
      </c>
      <c r="I40" s="48">
        <v>-536</v>
      </c>
      <c r="J40" s="48">
        <v>-396</v>
      </c>
      <c r="K40" s="48">
        <v>-396</v>
      </c>
      <c r="L40" s="48">
        <v>0</v>
      </c>
      <c r="M40" s="48">
        <v>0</v>
      </c>
      <c r="N40" s="48">
        <v>0</v>
      </c>
      <c r="O40" s="48">
        <v>0</v>
      </c>
    </row>
    <row r="41" spans="2:15" x14ac:dyDescent="0.2">
      <c r="B41" s="47">
        <v>5124104</v>
      </c>
      <c r="C41" s="47" t="s">
        <v>183</v>
      </c>
      <c r="D41" s="48">
        <v>-3870.6107000000002</v>
      </c>
      <c r="E41" s="48">
        <v>-675</v>
      </c>
      <c r="F41" s="48">
        <v>323044.5</v>
      </c>
      <c r="G41" s="48">
        <v>-323482.34999999998</v>
      </c>
      <c r="H41" s="48">
        <v>-670</v>
      </c>
      <c r="I41" s="48">
        <v>-2226.7800000000002</v>
      </c>
      <c r="J41" s="48">
        <v>0</v>
      </c>
      <c r="K41" s="48">
        <v>0</v>
      </c>
      <c r="L41" s="48">
        <v>0</v>
      </c>
      <c r="M41" s="48">
        <v>0</v>
      </c>
      <c r="N41" s="48">
        <v>0</v>
      </c>
      <c r="O41" s="48">
        <v>0</v>
      </c>
    </row>
    <row r="42" spans="2:15" x14ac:dyDescent="0.2">
      <c r="B42" s="47">
        <v>5124106</v>
      </c>
      <c r="C42" s="47" t="s">
        <v>184</v>
      </c>
      <c r="D42" s="48">
        <v>-5297.2</v>
      </c>
      <c r="E42" s="48">
        <v>-935.69</v>
      </c>
      <c r="F42" s="48">
        <v>-72.34</v>
      </c>
      <c r="G42" s="48">
        <v>2905.2</v>
      </c>
      <c r="H42" s="48">
        <v>-1030.54</v>
      </c>
      <c r="I42" s="48">
        <v>2198.94</v>
      </c>
      <c r="J42" s="48">
        <v>-1165.3</v>
      </c>
      <c r="K42" s="48">
        <v>-4198.71</v>
      </c>
      <c r="L42" s="48">
        <v>68.64</v>
      </c>
      <c r="M42" s="48">
        <v>0</v>
      </c>
      <c r="N42" s="48">
        <v>0</v>
      </c>
      <c r="O42" s="48">
        <v>0</v>
      </c>
    </row>
    <row r="43" spans="2:15" x14ac:dyDescent="0.2">
      <c r="B43" s="47">
        <v>5124107</v>
      </c>
      <c r="C43" s="47" t="s">
        <v>201</v>
      </c>
      <c r="D43" s="48">
        <v>13728</v>
      </c>
      <c r="E43" s="48">
        <v>13230</v>
      </c>
      <c r="F43" s="48">
        <v>8367.4500000000007</v>
      </c>
      <c r="G43" s="48">
        <v>14337</v>
      </c>
      <c r="H43" s="48">
        <v>-46918</v>
      </c>
      <c r="I43" s="48">
        <v>-263.98</v>
      </c>
      <c r="J43" s="48">
        <v>-268</v>
      </c>
      <c r="K43" s="48">
        <v>0</v>
      </c>
      <c r="L43" s="48">
        <v>0</v>
      </c>
      <c r="M43" s="48">
        <v>0</v>
      </c>
      <c r="N43" s="48">
        <v>0</v>
      </c>
      <c r="O43" s="48">
        <v>0</v>
      </c>
    </row>
    <row r="44" spans="2:15" x14ac:dyDescent="0.2">
      <c r="B44" s="47">
        <v>5124108</v>
      </c>
      <c r="C44" s="47" t="s">
        <v>202</v>
      </c>
      <c r="D44" s="48">
        <v>42535.71</v>
      </c>
      <c r="E44" s="48">
        <v>-9298128.7699999996</v>
      </c>
      <c r="F44" s="48">
        <v>154338.38</v>
      </c>
      <c r="G44" s="48">
        <v>-142277.85</v>
      </c>
      <c r="H44" s="48">
        <v>12071.67849</v>
      </c>
      <c r="I44" s="48">
        <v>11193.12</v>
      </c>
      <c r="J44" s="48">
        <v>15453.838</v>
      </c>
      <c r="K44" s="48">
        <v>102006.42</v>
      </c>
      <c r="L44" s="48">
        <v>0</v>
      </c>
      <c r="M44" s="48">
        <v>0</v>
      </c>
      <c r="N44" s="48">
        <v>0</v>
      </c>
      <c r="O44" s="48">
        <v>0</v>
      </c>
    </row>
    <row r="45" spans="2:15" x14ac:dyDescent="0.2">
      <c r="B45" s="47">
        <v>5124109</v>
      </c>
      <c r="C45" s="47" t="s">
        <v>203</v>
      </c>
      <c r="D45" s="48">
        <v>289966.96000000002</v>
      </c>
      <c r="E45" s="48">
        <v>0</v>
      </c>
      <c r="F45" s="48">
        <v>0</v>
      </c>
      <c r="G45" s="48">
        <v>0</v>
      </c>
      <c r="H45" s="48">
        <v>0</v>
      </c>
      <c r="I45" s="48">
        <v>0</v>
      </c>
      <c r="J45" s="48">
        <v>0</v>
      </c>
      <c r="K45" s="48">
        <v>0</v>
      </c>
      <c r="L45" s="48">
        <v>0</v>
      </c>
      <c r="M45" s="48">
        <v>0</v>
      </c>
      <c r="N45" s="48">
        <v>0</v>
      </c>
      <c r="O45" s="48">
        <v>0</v>
      </c>
    </row>
    <row r="46" spans="2:15" x14ac:dyDescent="0.2">
      <c r="B46" s="47">
        <v>5124110</v>
      </c>
      <c r="C46" s="47" t="s">
        <v>218</v>
      </c>
      <c r="D46" s="48">
        <v>0</v>
      </c>
      <c r="E46" s="48">
        <v>0</v>
      </c>
      <c r="F46" s="48">
        <v>0</v>
      </c>
      <c r="G46" s="48">
        <v>0</v>
      </c>
      <c r="H46" s="48">
        <v>0</v>
      </c>
      <c r="I46" s="48">
        <v>-14626855.34</v>
      </c>
      <c r="J46" s="48">
        <v>-5477449.7949999999</v>
      </c>
      <c r="K46" s="48">
        <v>64548</v>
      </c>
      <c r="L46" s="48">
        <v>0</v>
      </c>
      <c r="M46" s="48">
        <v>0</v>
      </c>
      <c r="N46" s="48">
        <v>0</v>
      </c>
      <c r="O46" s="48">
        <v>0</v>
      </c>
    </row>
    <row r="47" spans="2:15" x14ac:dyDescent="0.2">
      <c r="B47" s="47">
        <v>51242001</v>
      </c>
      <c r="C47" s="47" t="s">
        <v>143</v>
      </c>
      <c r="D47" s="48">
        <v>13384.760399999999</v>
      </c>
      <c r="E47" s="48">
        <v>1014.95</v>
      </c>
      <c r="F47" s="48">
        <v>-2107.5</v>
      </c>
      <c r="G47" s="48">
        <v>-307.5</v>
      </c>
      <c r="H47" s="48">
        <v>-307.5</v>
      </c>
      <c r="I47" s="48">
        <v>-307.5</v>
      </c>
      <c r="J47" s="48">
        <v>-307.5</v>
      </c>
      <c r="K47" s="48">
        <v>-280</v>
      </c>
      <c r="L47" s="48">
        <v>0</v>
      </c>
      <c r="M47" s="48">
        <v>0</v>
      </c>
      <c r="N47" s="48">
        <v>0</v>
      </c>
      <c r="O47" s="48">
        <v>0</v>
      </c>
    </row>
    <row r="48" spans="2:15" x14ac:dyDescent="0.2">
      <c r="B48" s="47">
        <v>51242002</v>
      </c>
      <c r="C48" s="47" t="s">
        <v>219</v>
      </c>
      <c r="D48" s="48">
        <v>22263</v>
      </c>
      <c r="E48" s="48">
        <v>0</v>
      </c>
      <c r="F48" s="48">
        <v>2214</v>
      </c>
      <c r="G48" s="48">
        <v>-3936</v>
      </c>
      <c r="H48" s="48">
        <v>105223.65</v>
      </c>
      <c r="I48" s="48">
        <v>5911.69</v>
      </c>
      <c r="J48" s="48">
        <v>-15963.36</v>
      </c>
      <c r="K48" s="48">
        <v>13303.36</v>
      </c>
      <c r="L48" s="48">
        <v>0</v>
      </c>
      <c r="M48" s="48">
        <v>0</v>
      </c>
      <c r="N48" s="48">
        <v>0</v>
      </c>
      <c r="O48" s="48">
        <v>0</v>
      </c>
    </row>
    <row r="49" spans="1:15" x14ac:dyDescent="0.2">
      <c r="B49" s="47">
        <v>5311001</v>
      </c>
      <c r="C49" s="47" t="s">
        <v>144</v>
      </c>
      <c r="D49" s="48">
        <v>-149104</v>
      </c>
      <c r="E49" s="48">
        <v>161310</v>
      </c>
      <c r="F49" s="48">
        <v>-131300</v>
      </c>
      <c r="G49" s="48">
        <v>73450</v>
      </c>
      <c r="H49" s="48">
        <v>-103707</v>
      </c>
      <c r="I49" s="48">
        <v>0</v>
      </c>
      <c r="J49" s="48">
        <v>0</v>
      </c>
      <c r="K49" s="48">
        <v>0</v>
      </c>
      <c r="L49" s="48">
        <v>0</v>
      </c>
      <c r="M49" s="48">
        <v>0</v>
      </c>
      <c r="N49" s="48">
        <v>0</v>
      </c>
      <c r="O49" s="48">
        <v>0</v>
      </c>
    </row>
    <row r="50" spans="1:15" x14ac:dyDescent="0.2">
      <c r="B50" s="47">
        <v>5311003</v>
      </c>
      <c r="C50" s="47" t="s">
        <v>145</v>
      </c>
      <c r="D50" s="48">
        <v>97810</v>
      </c>
      <c r="E50" s="48">
        <v>49370</v>
      </c>
      <c r="F50" s="48">
        <v>-12660</v>
      </c>
      <c r="G50" s="48">
        <v>-85110</v>
      </c>
      <c r="H50" s="48">
        <v>200628</v>
      </c>
      <c r="I50" s="48">
        <v>-242600</v>
      </c>
      <c r="J50" s="48">
        <v>13100</v>
      </c>
      <c r="K50" s="48">
        <v>242188</v>
      </c>
      <c r="L50" s="48">
        <v>-264440</v>
      </c>
      <c r="M50" s="48">
        <v>0</v>
      </c>
      <c r="N50" s="48">
        <v>0</v>
      </c>
      <c r="O50" s="48">
        <v>0</v>
      </c>
    </row>
    <row r="51" spans="1:15" x14ac:dyDescent="0.2">
      <c r="B51" s="47">
        <v>5311004</v>
      </c>
      <c r="C51" s="47" t="s">
        <v>146</v>
      </c>
      <c r="D51" s="48">
        <v>-96451</v>
      </c>
      <c r="E51" s="48">
        <v>-40940</v>
      </c>
      <c r="F51" s="48">
        <v>29321.16</v>
      </c>
      <c r="G51" s="48">
        <v>90844.800000000003</v>
      </c>
      <c r="H51" s="48">
        <v>193495</v>
      </c>
      <c r="I51" s="48">
        <v>2006</v>
      </c>
      <c r="J51" s="48">
        <v>-322904</v>
      </c>
      <c r="K51" s="48">
        <v>-4</v>
      </c>
      <c r="L51" s="48">
        <v>-562</v>
      </c>
      <c r="M51" s="48">
        <v>0</v>
      </c>
      <c r="N51" s="48">
        <v>0</v>
      </c>
      <c r="O51" s="48">
        <v>0</v>
      </c>
    </row>
    <row r="52" spans="1:15" x14ac:dyDescent="0.2">
      <c r="B52" s="47">
        <v>5311005</v>
      </c>
      <c r="C52" s="47" t="s">
        <v>160</v>
      </c>
      <c r="D52" s="48">
        <v>79103</v>
      </c>
      <c r="E52" s="48">
        <v>-55190</v>
      </c>
      <c r="F52" s="48">
        <v>310685</v>
      </c>
      <c r="G52" s="48">
        <v>-306045</v>
      </c>
      <c r="H52" s="48">
        <v>31770</v>
      </c>
      <c r="I52" s="48">
        <v>-60620</v>
      </c>
      <c r="J52" s="48">
        <v>337708</v>
      </c>
      <c r="K52" s="48">
        <v>-337305</v>
      </c>
      <c r="L52" s="48">
        <v>-541</v>
      </c>
      <c r="M52" s="48">
        <v>0</v>
      </c>
      <c r="N52" s="48">
        <v>0</v>
      </c>
      <c r="O52" s="48">
        <v>0</v>
      </c>
    </row>
    <row r="53" spans="1:15" x14ac:dyDescent="0.2">
      <c r="B53" s="47">
        <v>5811001</v>
      </c>
      <c r="C53" s="47" t="s">
        <v>169</v>
      </c>
      <c r="D53" s="48">
        <v>0</v>
      </c>
      <c r="E53" s="48">
        <v>0</v>
      </c>
      <c r="F53" s="48">
        <v>0</v>
      </c>
      <c r="G53" s="48">
        <v>0</v>
      </c>
      <c r="H53" s="48">
        <v>0</v>
      </c>
      <c r="I53" s="48">
        <v>0</v>
      </c>
      <c r="J53" s="48">
        <v>0</v>
      </c>
      <c r="K53" s="48">
        <v>0</v>
      </c>
      <c r="L53" s="48">
        <v>0</v>
      </c>
      <c r="M53" s="48">
        <v>0</v>
      </c>
      <c r="N53" s="48">
        <v>0</v>
      </c>
      <c r="O53" s="48">
        <v>0</v>
      </c>
    </row>
    <row r="54" spans="1:15" x14ac:dyDescent="0.2">
      <c r="A54" s="55"/>
      <c r="B54" s="47">
        <v>5811002</v>
      </c>
      <c r="C54" s="47" t="s">
        <v>147</v>
      </c>
      <c r="D54" s="48">
        <v>0.28000000000000003</v>
      </c>
      <c r="E54" s="48">
        <v>0</v>
      </c>
      <c r="F54" s="48">
        <v>0</v>
      </c>
      <c r="G54" s="48">
        <v>0</v>
      </c>
      <c r="H54" s="48">
        <v>0</v>
      </c>
      <c r="I54" s="48">
        <v>0</v>
      </c>
      <c r="J54" s="48">
        <v>-0.15</v>
      </c>
      <c r="K54" s="48">
        <v>92404</v>
      </c>
      <c r="L54" s="48">
        <v>0</v>
      </c>
      <c r="M54" s="48">
        <v>0</v>
      </c>
      <c r="N54" s="48">
        <v>0</v>
      </c>
      <c r="O54" s="48">
        <v>0</v>
      </c>
    </row>
    <row r="55" spans="1:15" x14ac:dyDescent="0.2">
      <c r="A55" s="55"/>
      <c r="B55" s="47">
        <v>5811003</v>
      </c>
      <c r="C55" s="47" t="s">
        <v>117</v>
      </c>
      <c r="D55" s="48">
        <v>0.26</v>
      </c>
      <c r="E55" s="48">
        <v>0.67</v>
      </c>
      <c r="F55" s="48">
        <v>0.45</v>
      </c>
      <c r="G55" s="48">
        <v>0</v>
      </c>
      <c r="H55" s="48">
        <v>0.08</v>
      </c>
      <c r="I55" s="48">
        <v>10.66</v>
      </c>
      <c r="J55" s="48">
        <v>-11.06</v>
      </c>
      <c r="K55" s="48">
        <v>-92400.4</v>
      </c>
      <c r="L55" s="48">
        <v>0</v>
      </c>
      <c r="M55" s="48">
        <v>0</v>
      </c>
      <c r="N55" s="48">
        <v>0</v>
      </c>
      <c r="O55" s="48">
        <v>0</v>
      </c>
    </row>
    <row r="56" spans="1:15" x14ac:dyDescent="0.2">
      <c r="A56" s="55"/>
      <c r="B56" s="47">
        <v>5811004</v>
      </c>
      <c r="C56" s="47" t="s">
        <v>204</v>
      </c>
      <c r="D56" s="48">
        <v>0</v>
      </c>
      <c r="E56" s="48">
        <v>0</v>
      </c>
      <c r="F56" s="48">
        <v>0</v>
      </c>
      <c r="G56" s="48">
        <v>0</v>
      </c>
      <c r="H56" s="48">
        <v>0</v>
      </c>
      <c r="I56" s="48">
        <v>0</v>
      </c>
      <c r="J56" s="48">
        <v>0</v>
      </c>
      <c r="K56" s="48">
        <v>0</v>
      </c>
      <c r="L56" s="48">
        <v>0</v>
      </c>
      <c r="M56" s="48">
        <v>0</v>
      </c>
      <c r="N56" s="48">
        <v>0</v>
      </c>
      <c r="O56" s="48">
        <v>0</v>
      </c>
    </row>
    <row r="57" spans="1:15" x14ac:dyDescent="0.2">
      <c r="B57" s="47">
        <v>599</v>
      </c>
      <c r="C57" s="47" t="s">
        <v>161</v>
      </c>
      <c r="D57" s="48">
        <v>0</v>
      </c>
      <c r="E57" s="48">
        <v>0</v>
      </c>
      <c r="F57" s="48">
        <v>0</v>
      </c>
      <c r="G57" s="48">
        <v>0</v>
      </c>
      <c r="H57" s="48">
        <v>0</v>
      </c>
      <c r="I57" s="48">
        <v>0</v>
      </c>
      <c r="J57" s="48">
        <v>0</v>
      </c>
      <c r="K57" s="48">
        <v>0</v>
      </c>
      <c r="L57" s="48">
        <v>0</v>
      </c>
      <c r="M57" s="48">
        <v>0</v>
      </c>
      <c r="N57" s="48">
        <v>0</v>
      </c>
      <c r="O57" s="48">
        <v>0</v>
      </c>
    </row>
    <row r="58" spans="1:15" x14ac:dyDescent="0.2">
      <c r="B58" s="47">
        <v>601</v>
      </c>
      <c r="C58" s="47" t="s">
        <v>170</v>
      </c>
      <c r="D58" s="48">
        <v>12140.2624</v>
      </c>
      <c r="E58" s="48">
        <v>0</v>
      </c>
      <c r="F58" s="48">
        <v>175150</v>
      </c>
      <c r="G58" s="48">
        <v>0</v>
      </c>
      <c r="H58" s="48">
        <v>117600</v>
      </c>
      <c r="I58" s="48">
        <v>215215</v>
      </c>
      <c r="J58" s="48">
        <v>0</v>
      </c>
      <c r="K58" s="48">
        <v>474746</v>
      </c>
      <c r="L58" s="48">
        <v>0</v>
      </c>
      <c r="M58" s="48">
        <v>0</v>
      </c>
      <c r="N58" s="48">
        <v>0</v>
      </c>
      <c r="O58" s="48">
        <v>0</v>
      </c>
    </row>
    <row r="59" spans="1:15" x14ac:dyDescent="0.2">
      <c r="B59" s="47">
        <v>6031</v>
      </c>
      <c r="C59" s="47" t="s">
        <v>167</v>
      </c>
      <c r="D59" s="48">
        <v>-1784.71</v>
      </c>
      <c r="E59" s="48">
        <v>85237.52</v>
      </c>
      <c r="F59" s="48">
        <v>-63361.37</v>
      </c>
      <c r="G59" s="48">
        <v>95460.42</v>
      </c>
      <c r="H59" s="48">
        <v>10057.02</v>
      </c>
      <c r="I59" s="48">
        <v>-79165.740000000005</v>
      </c>
      <c r="J59" s="48">
        <v>0</v>
      </c>
      <c r="K59" s="48">
        <v>-149138.16399999999</v>
      </c>
      <c r="L59" s="48">
        <v>163548.69</v>
      </c>
      <c r="M59" s="48">
        <v>0</v>
      </c>
      <c r="N59" s="48">
        <v>0</v>
      </c>
      <c r="O59" s="48">
        <v>0</v>
      </c>
    </row>
    <row r="60" spans="1:15" x14ac:dyDescent="0.2">
      <c r="B60" s="47">
        <v>6035</v>
      </c>
      <c r="C60" s="47" t="s">
        <v>148</v>
      </c>
      <c r="D60" s="48">
        <v>-11177194.619999999</v>
      </c>
      <c r="E60" s="48">
        <v>-39295673.170000002</v>
      </c>
      <c r="F60" s="48">
        <v>-1000081.575</v>
      </c>
      <c r="G60" s="48">
        <v>-13972322.859999999</v>
      </c>
      <c r="H60" s="48">
        <v>-3410963.6740000001</v>
      </c>
      <c r="I60" s="48">
        <v>3749779.7110000001</v>
      </c>
      <c r="J60" s="48">
        <v>598410.52</v>
      </c>
      <c r="K60" s="48">
        <v>7267787.0789999999</v>
      </c>
      <c r="L60" s="48">
        <v>3519503.0070000002</v>
      </c>
      <c r="M60" s="48">
        <v>0</v>
      </c>
      <c r="N60" s="48">
        <v>0</v>
      </c>
      <c r="O60" s="48">
        <v>0</v>
      </c>
    </row>
    <row r="61" spans="1:15" x14ac:dyDescent="0.2">
      <c r="B61" s="47">
        <v>6040001</v>
      </c>
      <c r="C61" s="47" t="s">
        <v>149</v>
      </c>
      <c r="D61" s="48">
        <v>50614</v>
      </c>
      <c r="E61" s="48">
        <v>22572</v>
      </c>
      <c r="F61" s="48">
        <v>22572</v>
      </c>
      <c r="G61" s="48">
        <v>89184</v>
      </c>
      <c r="H61" s="48">
        <v>42816</v>
      </c>
      <c r="I61" s="48">
        <v>16072</v>
      </c>
      <c r="J61" s="48">
        <v>0</v>
      </c>
      <c r="K61" s="48">
        <v>0</v>
      </c>
      <c r="L61" s="48">
        <v>0</v>
      </c>
      <c r="M61" s="48">
        <v>0</v>
      </c>
      <c r="N61" s="48">
        <v>0</v>
      </c>
      <c r="O61" s="48">
        <v>0</v>
      </c>
    </row>
    <row r="62" spans="1:15" x14ac:dyDescent="0.2">
      <c r="B62" s="47">
        <v>605</v>
      </c>
      <c r="C62" s="47" t="s">
        <v>150</v>
      </c>
      <c r="D62" s="48">
        <v>13254679.109999999</v>
      </c>
      <c r="E62" s="48">
        <v>40058950.509999998</v>
      </c>
      <c r="F62" s="48">
        <v>1937866.0090000001</v>
      </c>
      <c r="G62" s="48">
        <v>14027555.029999999</v>
      </c>
      <c r="H62" s="48">
        <v>4499060.0429999996</v>
      </c>
      <c r="I62" s="48">
        <v>6320878.932</v>
      </c>
      <c r="J62" s="48">
        <v>1501541.973</v>
      </c>
      <c r="K62" s="48">
        <v>3013625.4180000001</v>
      </c>
      <c r="L62" s="48">
        <v>1859705.25</v>
      </c>
      <c r="M62" s="48">
        <v>0</v>
      </c>
      <c r="N62" s="48">
        <v>0</v>
      </c>
      <c r="O62" s="48">
        <v>0</v>
      </c>
    </row>
    <row r="63" spans="1:15" x14ac:dyDescent="0.2">
      <c r="A63" s="55"/>
      <c r="B63" s="47">
        <v>606</v>
      </c>
      <c r="C63" s="47" t="s">
        <v>220</v>
      </c>
      <c r="D63" s="48">
        <v>0</v>
      </c>
      <c r="E63" s="48">
        <v>0</v>
      </c>
      <c r="F63" s="48">
        <v>0</v>
      </c>
      <c r="G63" s="48">
        <v>0</v>
      </c>
      <c r="H63" s="48">
        <v>0</v>
      </c>
      <c r="I63" s="48">
        <v>60990</v>
      </c>
      <c r="J63" s="48">
        <v>0</v>
      </c>
      <c r="K63" s="48">
        <v>9308.6</v>
      </c>
      <c r="L63" s="48">
        <v>0</v>
      </c>
      <c r="M63" s="48">
        <v>0</v>
      </c>
      <c r="N63" s="48">
        <v>0</v>
      </c>
      <c r="O63" s="48">
        <v>0</v>
      </c>
    </row>
    <row r="64" spans="1:15" x14ac:dyDescent="0.2">
      <c r="B64" s="47">
        <v>606001</v>
      </c>
      <c r="C64" s="47" t="s">
        <v>168</v>
      </c>
      <c r="D64" s="48">
        <v>5408.34</v>
      </c>
      <c r="E64" s="48">
        <v>0</v>
      </c>
      <c r="F64" s="48">
        <v>1685</v>
      </c>
      <c r="G64" s="48">
        <v>8373.5</v>
      </c>
      <c r="H64" s="48">
        <v>0</v>
      </c>
      <c r="I64" s="48">
        <v>5355.84</v>
      </c>
      <c r="J64" s="48">
        <v>91416.68</v>
      </c>
      <c r="K64" s="48">
        <v>12000</v>
      </c>
      <c r="L64" s="48">
        <v>0</v>
      </c>
      <c r="M64" s="48">
        <v>0</v>
      </c>
      <c r="N64" s="48">
        <v>0</v>
      </c>
      <c r="O64" s="48">
        <v>0</v>
      </c>
    </row>
    <row r="65" spans="1:15" x14ac:dyDescent="0.2">
      <c r="B65" s="47">
        <v>608</v>
      </c>
      <c r="C65" s="47" t="s">
        <v>118</v>
      </c>
      <c r="D65" s="48">
        <v>57719.09</v>
      </c>
      <c r="E65" s="48">
        <v>94670.3</v>
      </c>
      <c r="F65" s="48">
        <v>132209.18400000001</v>
      </c>
      <c r="G65" s="48">
        <v>218519.41</v>
      </c>
      <c r="H65" s="48">
        <v>208595.02619999999</v>
      </c>
      <c r="I65" s="48">
        <v>348145.41840000002</v>
      </c>
      <c r="J65" s="48">
        <v>167927.99</v>
      </c>
      <c r="K65" s="48">
        <v>333161.68</v>
      </c>
      <c r="L65" s="48">
        <v>121352.32000000001</v>
      </c>
      <c r="M65" s="48">
        <v>0</v>
      </c>
      <c r="N65" s="48">
        <v>0</v>
      </c>
      <c r="O65" s="48">
        <v>0</v>
      </c>
    </row>
    <row r="66" spans="1:15" x14ac:dyDescent="0.2">
      <c r="B66" s="47">
        <v>6110001</v>
      </c>
      <c r="C66" s="47" t="s">
        <v>119</v>
      </c>
      <c r="D66" s="48">
        <v>102167.4099</v>
      </c>
      <c r="E66" s="48">
        <v>0</v>
      </c>
      <c r="F66" s="48">
        <v>0</v>
      </c>
      <c r="G66" s="48">
        <v>0</v>
      </c>
      <c r="H66" s="48">
        <v>0</v>
      </c>
      <c r="I66" s="48">
        <v>0</v>
      </c>
      <c r="J66" s="48">
        <v>0</v>
      </c>
      <c r="K66" s="48">
        <v>0</v>
      </c>
      <c r="L66" s="48">
        <v>0</v>
      </c>
      <c r="M66" s="48">
        <v>0</v>
      </c>
      <c r="N66" s="48">
        <v>0</v>
      </c>
      <c r="O66" s="48">
        <v>0</v>
      </c>
    </row>
    <row r="67" spans="1:15" x14ac:dyDescent="0.2">
      <c r="B67" s="47">
        <v>6110003</v>
      </c>
      <c r="C67" s="47" t="s">
        <v>151</v>
      </c>
      <c r="D67" s="48">
        <v>21000</v>
      </c>
      <c r="E67" s="48">
        <v>16500</v>
      </c>
      <c r="F67" s="48">
        <v>16500</v>
      </c>
      <c r="G67" s="48">
        <v>12500</v>
      </c>
      <c r="H67" s="48">
        <v>91500</v>
      </c>
      <c r="I67" s="48">
        <v>18000</v>
      </c>
      <c r="J67" s="48">
        <v>5500</v>
      </c>
      <c r="K67" s="48">
        <v>12500</v>
      </c>
      <c r="L67" s="48">
        <v>8500</v>
      </c>
      <c r="M67" s="48">
        <v>0</v>
      </c>
      <c r="N67" s="48">
        <v>0</v>
      </c>
      <c r="O67" s="48">
        <v>0</v>
      </c>
    </row>
    <row r="68" spans="1:15" x14ac:dyDescent="0.2">
      <c r="B68" s="47">
        <v>6110005</v>
      </c>
      <c r="C68" s="47" t="s">
        <v>152</v>
      </c>
      <c r="D68" s="48">
        <v>94166.67</v>
      </c>
      <c r="E68" s="48">
        <v>0</v>
      </c>
      <c r="F68" s="48">
        <v>94166.67</v>
      </c>
      <c r="G68" s="48">
        <v>90000</v>
      </c>
      <c r="H68" s="48">
        <v>18333.330000000002</v>
      </c>
      <c r="I68" s="48">
        <v>188333.34</v>
      </c>
      <c r="J68" s="48">
        <v>94166.67</v>
      </c>
      <c r="K68" s="48">
        <v>94166.67</v>
      </c>
      <c r="L68" s="48">
        <v>94166.67</v>
      </c>
      <c r="M68" s="48">
        <v>0</v>
      </c>
      <c r="N68" s="48">
        <v>0</v>
      </c>
      <c r="O68" s="48">
        <v>0</v>
      </c>
    </row>
    <row r="69" spans="1:15" x14ac:dyDescent="0.2">
      <c r="B69" s="47">
        <v>6110006</v>
      </c>
      <c r="C69" s="47" t="s">
        <v>205</v>
      </c>
      <c r="D69" s="48">
        <v>0</v>
      </c>
      <c r="E69" s="48">
        <v>0</v>
      </c>
      <c r="F69" s="48">
        <v>102039.201</v>
      </c>
      <c r="G69" s="48">
        <v>575149.25</v>
      </c>
      <c r="H69" s="48">
        <v>364500</v>
      </c>
      <c r="I69" s="48">
        <v>102944.205</v>
      </c>
      <c r="J69" s="48">
        <v>0</v>
      </c>
      <c r="K69" s="48">
        <v>0</v>
      </c>
      <c r="L69" s="48">
        <v>0</v>
      </c>
      <c r="M69" s="48">
        <v>0</v>
      </c>
      <c r="N69" s="48">
        <v>0</v>
      </c>
      <c r="O69" s="48">
        <v>0</v>
      </c>
    </row>
    <row r="70" spans="1:15" x14ac:dyDescent="0.2">
      <c r="B70" s="47">
        <v>6110007</v>
      </c>
      <c r="C70" s="47" t="s">
        <v>185</v>
      </c>
      <c r="D70" s="48">
        <v>0</v>
      </c>
      <c r="E70" s="48">
        <v>9450</v>
      </c>
      <c r="F70" s="48">
        <v>0</v>
      </c>
      <c r="G70" s="48">
        <v>0</v>
      </c>
      <c r="H70" s="48">
        <v>0</v>
      </c>
      <c r="I70" s="48">
        <v>0</v>
      </c>
      <c r="J70" s="48">
        <v>0</v>
      </c>
      <c r="K70" s="48">
        <v>0</v>
      </c>
      <c r="L70" s="48">
        <v>0</v>
      </c>
      <c r="M70" s="48">
        <v>0</v>
      </c>
      <c r="N70" s="48">
        <v>0</v>
      </c>
      <c r="O70" s="48">
        <v>0</v>
      </c>
    </row>
    <row r="71" spans="1:15" x14ac:dyDescent="0.2">
      <c r="B71" s="47">
        <v>6110008</v>
      </c>
      <c r="C71" s="47" t="s">
        <v>257</v>
      </c>
      <c r="D71" s="48">
        <v>0</v>
      </c>
      <c r="E71" s="48">
        <v>0</v>
      </c>
      <c r="F71" s="48">
        <v>0</v>
      </c>
      <c r="G71" s="48">
        <v>0</v>
      </c>
      <c r="H71" s="48">
        <v>0</v>
      </c>
      <c r="I71" s="48">
        <v>0</v>
      </c>
      <c r="J71" s="48">
        <v>0</v>
      </c>
      <c r="K71" s="48">
        <v>21053.15</v>
      </c>
      <c r="L71" s="48">
        <v>0</v>
      </c>
      <c r="M71" s="48">
        <v>0</v>
      </c>
      <c r="N71" s="48">
        <v>0</v>
      </c>
      <c r="O71" s="48">
        <v>0</v>
      </c>
    </row>
    <row r="72" spans="1:15" x14ac:dyDescent="0.2">
      <c r="A72" s="55"/>
      <c r="B72" s="47">
        <v>6110009</v>
      </c>
      <c r="C72" s="47" t="s">
        <v>186</v>
      </c>
      <c r="D72" s="48">
        <v>0</v>
      </c>
      <c r="E72" s="48">
        <v>0</v>
      </c>
      <c r="F72" s="48">
        <v>0</v>
      </c>
      <c r="G72" s="48">
        <v>150000</v>
      </c>
      <c r="H72" s="48">
        <v>0</v>
      </c>
      <c r="I72" s="48">
        <v>0</v>
      </c>
      <c r="J72" s="48">
        <v>0</v>
      </c>
      <c r="K72" s="48">
        <v>0</v>
      </c>
      <c r="L72" s="48">
        <v>0</v>
      </c>
      <c r="M72" s="48">
        <v>0</v>
      </c>
      <c r="N72" s="48">
        <v>0</v>
      </c>
      <c r="O72" s="48">
        <v>0</v>
      </c>
    </row>
    <row r="73" spans="1:15" x14ac:dyDescent="0.2">
      <c r="A73" s="55"/>
      <c r="B73" s="47">
        <v>6110010</v>
      </c>
      <c r="C73" s="47" t="s">
        <v>221</v>
      </c>
      <c r="D73" s="48">
        <v>0</v>
      </c>
      <c r="E73" s="48">
        <v>0</v>
      </c>
      <c r="F73" s="48">
        <v>0</v>
      </c>
      <c r="G73" s="48">
        <v>0</v>
      </c>
      <c r="H73" s="48">
        <v>12000</v>
      </c>
      <c r="I73" s="48">
        <v>0</v>
      </c>
      <c r="J73" s="48">
        <v>0</v>
      </c>
      <c r="K73" s="48">
        <v>0</v>
      </c>
      <c r="L73" s="48">
        <v>0</v>
      </c>
      <c r="M73" s="48">
        <v>0</v>
      </c>
      <c r="N73" s="48">
        <v>0</v>
      </c>
      <c r="O73" s="48">
        <v>0</v>
      </c>
    </row>
    <row r="74" spans="1:15" x14ac:dyDescent="0.2">
      <c r="A74" s="55"/>
      <c r="B74" s="47">
        <v>6110013</v>
      </c>
      <c r="C74" s="47" t="s">
        <v>222</v>
      </c>
      <c r="D74" s="48">
        <v>0</v>
      </c>
      <c r="E74" s="48">
        <v>0</v>
      </c>
      <c r="F74" s="48">
        <v>0</v>
      </c>
      <c r="G74" s="48">
        <v>0</v>
      </c>
      <c r="H74" s="48">
        <v>63990</v>
      </c>
      <c r="I74" s="48">
        <v>60000</v>
      </c>
      <c r="J74" s="48">
        <v>0</v>
      </c>
      <c r="K74" s="48">
        <v>0</v>
      </c>
      <c r="L74" s="48">
        <v>390000</v>
      </c>
      <c r="M74" s="48">
        <v>0</v>
      </c>
      <c r="N74" s="48">
        <v>0</v>
      </c>
      <c r="O74" s="48">
        <v>0</v>
      </c>
    </row>
    <row r="75" spans="1:15" x14ac:dyDescent="0.2">
      <c r="B75" s="47">
        <v>6110014</v>
      </c>
      <c r="C75" s="47" t="s">
        <v>223</v>
      </c>
      <c r="D75" s="48">
        <v>0</v>
      </c>
      <c r="E75" s="48">
        <v>0</v>
      </c>
      <c r="F75" s="48">
        <v>0</v>
      </c>
      <c r="G75" s="48">
        <v>0</v>
      </c>
      <c r="H75" s="48">
        <v>37375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  <c r="O75" s="48">
        <v>0</v>
      </c>
    </row>
    <row r="76" spans="1:15" x14ac:dyDescent="0.2">
      <c r="B76" s="47">
        <v>613</v>
      </c>
      <c r="C76" s="47" t="s">
        <v>120</v>
      </c>
      <c r="D76" s="48">
        <v>663770.83409999998</v>
      </c>
      <c r="E76" s="48">
        <v>150050.45499999999</v>
      </c>
      <c r="F76" s="48">
        <v>1135375</v>
      </c>
      <c r="G76" s="48">
        <v>557957.43000000005</v>
      </c>
      <c r="H76" s="48">
        <v>508275</v>
      </c>
      <c r="I76" s="48">
        <v>808275</v>
      </c>
      <c r="J76" s="48">
        <v>608275</v>
      </c>
      <c r="K76" s="48">
        <v>608275</v>
      </c>
      <c r="L76" s="48">
        <v>608275</v>
      </c>
      <c r="M76" s="48">
        <v>0</v>
      </c>
      <c r="N76" s="48">
        <v>0</v>
      </c>
      <c r="O76" s="48">
        <v>0</v>
      </c>
    </row>
    <row r="77" spans="1:15" x14ac:dyDescent="0.2">
      <c r="B77" s="47">
        <v>616</v>
      </c>
      <c r="C77" s="47" t="s">
        <v>187</v>
      </c>
      <c r="D77" s="48">
        <v>0</v>
      </c>
      <c r="E77" s="48">
        <v>0</v>
      </c>
      <c r="F77" s="48">
        <v>0</v>
      </c>
      <c r="G77" s="48">
        <v>21070.14</v>
      </c>
      <c r="H77" s="48">
        <v>0</v>
      </c>
      <c r="I77" s="48">
        <v>2800</v>
      </c>
      <c r="J77" s="48">
        <v>0</v>
      </c>
      <c r="K77" s="48">
        <v>0</v>
      </c>
      <c r="L77" s="48">
        <v>0</v>
      </c>
      <c r="M77" s="48">
        <v>0</v>
      </c>
      <c r="N77" s="48">
        <v>0</v>
      </c>
      <c r="O77" s="48">
        <v>0</v>
      </c>
    </row>
    <row r="78" spans="1:15" x14ac:dyDescent="0.2">
      <c r="B78" s="47">
        <v>618</v>
      </c>
      <c r="C78" s="47" t="s">
        <v>127</v>
      </c>
      <c r="D78" s="48">
        <v>331552</v>
      </c>
      <c r="E78" s="48">
        <v>20000</v>
      </c>
      <c r="F78" s="48">
        <v>16180.3</v>
      </c>
      <c r="G78" s="48">
        <v>120683.07</v>
      </c>
      <c r="H78" s="48">
        <v>0</v>
      </c>
      <c r="I78" s="48">
        <v>219097</v>
      </c>
      <c r="J78" s="48">
        <v>274026.59999999998</v>
      </c>
      <c r="K78" s="48">
        <v>129197</v>
      </c>
      <c r="L78" s="48">
        <v>44200</v>
      </c>
      <c r="M78" s="48">
        <v>0</v>
      </c>
      <c r="N78" s="48">
        <v>0</v>
      </c>
      <c r="O78" s="48">
        <v>0</v>
      </c>
    </row>
    <row r="79" spans="1:15" x14ac:dyDescent="0.2">
      <c r="B79" s="47">
        <v>6240003</v>
      </c>
      <c r="C79" s="47" t="s">
        <v>206</v>
      </c>
      <c r="D79" s="48">
        <v>191318</v>
      </c>
      <c r="E79" s="48">
        <v>113467.2</v>
      </c>
      <c r="F79" s="48">
        <v>757264</v>
      </c>
      <c r="G79" s="48">
        <v>163733.04</v>
      </c>
      <c r="H79" s="48">
        <v>662450.24</v>
      </c>
      <c r="I79" s="48">
        <v>756862.84</v>
      </c>
      <c r="J79" s="48">
        <v>1584153.68</v>
      </c>
      <c r="K79" s="48">
        <v>86775</v>
      </c>
      <c r="L79" s="48">
        <v>539393</v>
      </c>
      <c r="M79" s="48">
        <v>0</v>
      </c>
      <c r="N79" s="48">
        <v>0</v>
      </c>
      <c r="O79" s="48">
        <v>0</v>
      </c>
    </row>
    <row r="80" spans="1:15" x14ac:dyDescent="0.2">
      <c r="B80" s="47">
        <v>6240004</v>
      </c>
      <c r="C80" s="47" t="s">
        <v>188</v>
      </c>
      <c r="D80" s="48">
        <v>111796</v>
      </c>
      <c r="E80" s="48">
        <v>93275</v>
      </c>
      <c r="F80" s="48">
        <v>0</v>
      </c>
      <c r="G80" s="48">
        <v>530933.30000000005</v>
      </c>
      <c r="H80" s="48">
        <v>594200</v>
      </c>
      <c r="I80" s="48">
        <v>3043795.08</v>
      </c>
      <c r="J80" s="48">
        <v>0</v>
      </c>
      <c r="K80" s="48">
        <v>87956</v>
      </c>
      <c r="L80" s="48">
        <v>0</v>
      </c>
      <c r="M80" s="48">
        <v>0</v>
      </c>
      <c r="N80" s="48">
        <v>0</v>
      </c>
      <c r="O80" s="48">
        <v>0</v>
      </c>
    </row>
    <row r="81" spans="1:15" x14ac:dyDescent="0.2">
      <c r="A81" s="55"/>
      <c r="B81" s="47">
        <v>625</v>
      </c>
      <c r="C81" s="47" t="s">
        <v>207</v>
      </c>
      <c r="D81" s="48">
        <v>0</v>
      </c>
      <c r="E81" s="48">
        <v>0</v>
      </c>
      <c r="F81" s="48">
        <v>0</v>
      </c>
      <c r="G81" s="48">
        <v>40674</v>
      </c>
      <c r="H81" s="48">
        <v>0</v>
      </c>
      <c r="I81" s="48">
        <v>0</v>
      </c>
      <c r="J81" s="48">
        <v>0</v>
      </c>
      <c r="K81" s="48">
        <v>0</v>
      </c>
      <c r="L81" s="48">
        <v>0</v>
      </c>
      <c r="M81" s="48">
        <v>0</v>
      </c>
      <c r="N81" s="48">
        <v>0</v>
      </c>
      <c r="O81" s="48">
        <v>0</v>
      </c>
    </row>
    <row r="82" spans="1:15" x14ac:dyDescent="0.2">
      <c r="B82" s="47">
        <v>6260002</v>
      </c>
      <c r="C82" s="47" t="s">
        <v>224</v>
      </c>
      <c r="D82" s="48">
        <v>0</v>
      </c>
      <c r="E82" s="48">
        <v>0</v>
      </c>
      <c r="F82" s="48">
        <v>0</v>
      </c>
      <c r="G82" s="48">
        <v>0</v>
      </c>
      <c r="H82" s="48">
        <v>29231.8</v>
      </c>
      <c r="I82" s="48">
        <v>0</v>
      </c>
      <c r="J82" s="48">
        <v>20216.849999999999</v>
      </c>
      <c r="K82" s="48">
        <v>20923.2</v>
      </c>
      <c r="L82" s="48">
        <v>31800.79</v>
      </c>
      <c r="M82" s="48">
        <v>0</v>
      </c>
      <c r="N82" s="48">
        <v>0</v>
      </c>
      <c r="O82" s="48">
        <v>0</v>
      </c>
    </row>
    <row r="83" spans="1:15" x14ac:dyDescent="0.2">
      <c r="B83" s="47">
        <v>6260003</v>
      </c>
      <c r="C83" s="47" t="s">
        <v>121</v>
      </c>
      <c r="D83" s="48">
        <v>0</v>
      </c>
      <c r="E83" s="48">
        <v>0</v>
      </c>
      <c r="F83" s="48">
        <v>7866.67</v>
      </c>
      <c r="G83" s="48">
        <v>2500</v>
      </c>
      <c r="H83" s="48">
        <v>7916.66</v>
      </c>
      <c r="I83" s="48">
        <v>31450.84</v>
      </c>
      <c r="J83" s="48">
        <v>23221.67</v>
      </c>
      <c r="K83" s="48">
        <v>23200</v>
      </c>
      <c r="L83" s="48">
        <v>19180</v>
      </c>
      <c r="M83" s="48">
        <v>0</v>
      </c>
      <c r="N83" s="48">
        <v>0</v>
      </c>
      <c r="O83" s="48">
        <v>0</v>
      </c>
    </row>
    <row r="84" spans="1:15" x14ac:dyDescent="0.2">
      <c r="B84" s="47">
        <v>6271</v>
      </c>
      <c r="C84" s="47" t="s">
        <v>162</v>
      </c>
      <c r="D84" s="48">
        <v>156247</v>
      </c>
      <c r="E84" s="48">
        <v>0</v>
      </c>
      <c r="F84" s="48">
        <v>732915.8</v>
      </c>
      <c r="G84" s="48">
        <v>630096</v>
      </c>
      <c r="H84" s="48">
        <v>78160.2</v>
      </c>
      <c r="I84" s="48">
        <v>347370.8</v>
      </c>
      <c r="J84" s="48">
        <v>145684</v>
      </c>
      <c r="K84" s="48">
        <v>144320</v>
      </c>
      <c r="L84" s="48">
        <v>163920.29999999999</v>
      </c>
      <c r="M84" s="48">
        <v>0</v>
      </c>
      <c r="N84" s="48">
        <v>0</v>
      </c>
      <c r="O84" s="48">
        <v>0</v>
      </c>
    </row>
    <row r="85" spans="1:15" x14ac:dyDescent="0.2">
      <c r="B85" s="47">
        <v>6276</v>
      </c>
      <c r="C85" s="47" t="s">
        <v>258</v>
      </c>
      <c r="D85" s="48">
        <v>0</v>
      </c>
      <c r="E85" s="48">
        <v>0</v>
      </c>
      <c r="F85" s="48">
        <v>0</v>
      </c>
      <c r="G85" s="48">
        <v>0</v>
      </c>
      <c r="H85" s="48">
        <v>0</v>
      </c>
      <c r="I85" s="48">
        <v>0</v>
      </c>
      <c r="J85" s="48">
        <v>0</v>
      </c>
      <c r="K85" s="48">
        <v>0</v>
      </c>
      <c r="L85" s="48">
        <v>56280</v>
      </c>
      <c r="M85" s="48">
        <v>0</v>
      </c>
      <c r="N85" s="48">
        <v>0</v>
      </c>
      <c r="O85" s="48">
        <v>0</v>
      </c>
    </row>
    <row r="86" spans="1:15" x14ac:dyDescent="0.2">
      <c r="B86" s="47">
        <v>628</v>
      </c>
      <c r="C86" s="47" t="s">
        <v>122</v>
      </c>
      <c r="D86" s="48">
        <v>45754.69</v>
      </c>
      <c r="E86" s="48">
        <v>46651.06</v>
      </c>
      <c r="F86" s="48">
        <v>23605.8</v>
      </c>
      <c r="G86" s="48">
        <v>54888.07</v>
      </c>
      <c r="H86" s="48">
        <v>47610.57</v>
      </c>
      <c r="I86" s="48">
        <v>86264.15</v>
      </c>
      <c r="J86" s="48">
        <v>49375.74</v>
      </c>
      <c r="K86" s="48">
        <v>14524.96</v>
      </c>
      <c r="L86" s="48">
        <v>0</v>
      </c>
      <c r="M86" s="48">
        <v>0</v>
      </c>
      <c r="N86" s="48">
        <v>0</v>
      </c>
      <c r="O86" s="48">
        <v>0</v>
      </c>
    </row>
    <row r="87" spans="1:15" x14ac:dyDescent="0.2">
      <c r="B87" s="47">
        <v>6320001</v>
      </c>
      <c r="C87" s="47" t="s">
        <v>177</v>
      </c>
      <c r="D87" s="48">
        <v>10054.1</v>
      </c>
      <c r="E87" s="48">
        <v>0</v>
      </c>
      <c r="F87" s="48">
        <v>0</v>
      </c>
      <c r="G87" s="48">
        <v>0</v>
      </c>
      <c r="H87" s="48">
        <v>0</v>
      </c>
      <c r="I87" s="48">
        <v>0</v>
      </c>
      <c r="J87" s="48">
        <v>0</v>
      </c>
      <c r="K87" s="48">
        <v>0</v>
      </c>
      <c r="L87" s="48">
        <v>0</v>
      </c>
      <c r="M87" s="48">
        <v>0</v>
      </c>
      <c r="N87" s="48">
        <v>0</v>
      </c>
      <c r="O87" s="48">
        <v>0</v>
      </c>
    </row>
    <row r="88" spans="1:15" x14ac:dyDescent="0.2">
      <c r="B88" s="47">
        <v>634</v>
      </c>
      <c r="C88" s="47" t="s">
        <v>208</v>
      </c>
      <c r="D88" s="48">
        <v>0</v>
      </c>
      <c r="E88" s="48">
        <v>0</v>
      </c>
      <c r="F88" s="48">
        <v>45000</v>
      </c>
      <c r="G88" s="48">
        <v>0</v>
      </c>
      <c r="H88" s="48">
        <v>0</v>
      </c>
      <c r="I88" s="48">
        <v>0</v>
      </c>
      <c r="J88" s="48">
        <v>0</v>
      </c>
      <c r="K88" s="48">
        <v>0</v>
      </c>
      <c r="L88" s="48">
        <v>0</v>
      </c>
      <c r="M88" s="48">
        <v>0</v>
      </c>
      <c r="N88" s="48">
        <v>0</v>
      </c>
      <c r="O88" s="48">
        <v>0</v>
      </c>
    </row>
    <row r="89" spans="1:15" x14ac:dyDescent="0.2">
      <c r="B89" s="47">
        <v>638</v>
      </c>
      <c r="C89" s="47" t="s">
        <v>189</v>
      </c>
      <c r="D89" s="48">
        <v>10295</v>
      </c>
      <c r="E89" s="48">
        <v>8978</v>
      </c>
      <c r="F89" s="48">
        <v>10297</v>
      </c>
      <c r="G89" s="48">
        <v>5967</v>
      </c>
      <c r="H89" s="48">
        <v>6766</v>
      </c>
      <c r="I89" s="48">
        <v>7271</v>
      </c>
      <c r="J89" s="48">
        <v>2917</v>
      </c>
      <c r="K89" s="48">
        <v>8769</v>
      </c>
      <c r="L89" s="48">
        <v>5874</v>
      </c>
      <c r="M89" s="48">
        <v>0</v>
      </c>
      <c r="N89" s="48">
        <v>0</v>
      </c>
      <c r="O89" s="48">
        <v>0</v>
      </c>
    </row>
    <row r="90" spans="1:15" x14ac:dyDescent="0.2">
      <c r="B90" s="47">
        <v>641</v>
      </c>
      <c r="C90" s="47" t="s">
        <v>123</v>
      </c>
      <c r="D90" s="48">
        <v>817345</v>
      </c>
      <c r="E90" s="48">
        <v>859239</v>
      </c>
      <c r="F90" s="48">
        <v>749009</v>
      </c>
      <c r="G90" s="48">
        <v>746011</v>
      </c>
      <c r="H90" s="48">
        <v>842110</v>
      </c>
      <c r="I90" s="48">
        <v>853705</v>
      </c>
      <c r="J90" s="48">
        <v>797884</v>
      </c>
      <c r="K90" s="48">
        <v>819196</v>
      </c>
      <c r="L90" s="48">
        <v>754746</v>
      </c>
      <c r="M90" s="48">
        <v>0</v>
      </c>
      <c r="N90" s="48">
        <v>0</v>
      </c>
      <c r="O90" s="48">
        <v>0</v>
      </c>
    </row>
    <row r="91" spans="1:15" x14ac:dyDescent="0.2">
      <c r="B91" s="47">
        <v>644</v>
      </c>
      <c r="C91" s="47" t="s">
        <v>124</v>
      </c>
      <c r="D91" s="48">
        <v>122701</v>
      </c>
      <c r="E91" s="48">
        <v>129704</v>
      </c>
      <c r="F91" s="48">
        <v>111295</v>
      </c>
      <c r="G91" s="48">
        <v>110789</v>
      </c>
      <c r="H91" s="48">
        <v>127993</v>
      </c>
      <c r="I91" s="48">
        <v>129929</v>
      </c>
      <c r="J91" s="48">
        <v>133247</v>
      </c>
      <c r="K91" s="48">
        <v>136806</v>
      </c>
      <c r="L91" s="48">
        <v>126043</v>
      </c>
      <c r="M91" s="48">
        <v>0</v>
      </c>
      <c r="N91" s="48">
        <v>0</v>
      </c>
      <c r="O91" s="48">
        <v>0</v>
      </c>
    </row>
    <row r="92" spans="1:15" x14ac:dyDescent="0.2">
      <c r="A92" s="55"/>
      <c r="B92" s="47">
        <v>654</v>
      </c>
      <c r="C92" s="47" t="s">
        <v>209</v>
      </c>
      <c r="D92" s="48">
        <v>0</v>
      </c>
      <c r="E92" s="48">
        <v>0</v>
      </c>
      <c r="F92" s="48">
        <v>112583.91</v>
      </c>
      <c r="G92" s="48">
        <v>33622.47</v>
      </c>
      <c r="H92" s="48">
        <v>16102.8</v>
      </c>
      <c r="I92" s="48">
        <v>54790.254999999997</v>
      </c>
      <c r="J92" s="48">
        <v>19282.099999999999</v>
      </c>
      <c r="K92" s="48">
        <v>0</v>
      </c>
      <c r="L92" s="48">
        <v>28812.35</v>
      </c>
      <c r="M92" s="48">
        <v>0</v>
      </c>
      <c r="N92" s="48">
        <v>0</v>
      </c>
      <c r="O92" s="48">
        <v>0</v>
      </c>
    </row>
    <row r="93" spans="1:15" x14ac:dyDescent="0.2">
      <c r="B93" s="47">
        <v>657</v>
      </c>
      <c r="C93" s="47" t="s">
        <v>210</v>
      </c>
      <c r="D93" s="48">
        <v>0</v>
      </c>
      <c r="E93" s="48">
        <v>40726</v>
      </c>
      <c r="F93" s="48">
        <v>0</v>
      </c>
      <c r="G93" s="48">
        <v>54462</v>
      </c>
      <c r="H93" s="48">
        <v>0</v>
      </c>
      <c r="I93" s="48">
        <v>0</v>
      </c>
      <c r="J93" s="48">
        <v>0</v>
      </c>
      <c r="K93" s="48">
        <v>9050</v>
      </c>
      <c r="L93" s="48">
        <v>0</v>
      </c>
      <c r="M93" s="48">
        <v>0</v>
      </c>
      <c r="N93" s="48">
        <v>0</v>
      </c>
      <c r="O93" s="48">
        <v>0</v>
      </c>
    </row>
    <row r="94" spans="1:15" x14ac:dyDescent="0.2">
      <c r="B94" s="47">
        <v>658</v>
      </c>
      <c r="C94" s="47" t="s">
        <v>225</v>
      </c>
      <c r="D94" s="48">
        <v>0</v>
      </c>
      <c r="E94" s="48">
        <v>0</v>
      </c>
      <c r="F94" s="48">
        <v>38768.199999999997</v>
      </c>
      <c r="G94" s="48">
        <v>372450.8</v>
      </c>
      <c r="H94" s="48">
        <v>30529.599999999999</v>
      </c>
      <c r="I94" s="48">
        <v>29343.4</v>
      </c>
      <c r="J94" s="48">
        <v>0</v>
      </c>
      <c r="K94" s="48">
        <v>35015.199999999997</v>
      </c>
      <c r="L94" s="48">
        <v>56280</v>
      </c>
      <c r="M94" s="48">
        <v>0</v>
      </c>
      <c r="N94" s="48">
        <v>0</v>
      </c>
      <c r="O94" s="48">
        <v>0</v>
      </c>
    </row>
    <row r="95" spans="1:15" x14ac:dyDescent="0.2">
      <c r="B95" s="47">
        <v>667</v>
      </c>
      <c r="C95" s="47" t="s">
        <v>211</v>
      </c>
      <c r="D95" s="48">
        <v>162258.71</v>
      </c>
      <c r="E95" s="48">
        <v>176034.76</v>
      </c>
      <c r="F95" s="48">
        <v>78.58</v>
      </c>
      <c r="G95" s="48">
        <v>376875.82</v>
      </c>
      <c r="H95" s="48">
        <v>200929.06</v>
      </c>
      <c r="I95" s="48">
        <v>229120.32</v>
      </c>
      <c r="J95" s="48">
        <v>261450.77</v>
      </c>
      <c r="K95" s="48">
        <v>25247.11</v>
      </c>
      <c r="L95" s="48">
        <v>26199.360000000001</v>
      </c>
      <c r="M95" s="48">
        <v>0</v>
      </c>
      <c r="N95" s="48">
        <v>0</v>
      </c>
      <c r="O95" s="48">
        <v>0</v>
      </c>
    </row>
    <row r="96" spans="1:15" x14ac:dyDescent="0.2">
      <c r="B96" s="47">
        <v>669</v>
      </c>
      <c r="C96" s="47" t="s">
        <v>212</v>
      </c>
      <c r="D96" s="48">
        <v>7589.88</v>
      </c>
      <c r="E96" s="48">
        <v>4485</v>
      </c>
      <c r="F96" s="48">
        <v>4485</v>
      </c>
      <c r="G96" s="48">
        <v>4485</v>
      </c>
      <c r="H96" s="48">
        <v>11741.8</v>
      </c>
      <c r="I96" s="48">
        <v>415456</v>
      </c>
      <c r="J96" s="48">
        <v>5110.7</v>
      </c>
      <c r="K96" s="48">
        <v>4473.54</v>
      </c>
      <c r="L96" s="48">
        <v>6.2</v>
      </c>
      <c r="M96" s="48">
        <v>0</v>
      </c>
      <c r="N96" s="48">
        <v>0</v>
      </c>
      <c r="O96" s="48">
        <v>0</v>
      </c>
    </row>
    <row r="97" spans="1:15" x14ac:dyDescent="0.2">
      <c r="A97" s="55"/>
      <c r="B97" s="47">
        <v>705</v>
      </c>
      <c r="C97" s="47" t="s">
        <v>153</v>
      </c>
      <c r="D97" s="48">
        <v>-3955277.773</v>
      </c>
      <c r="E97" s="48">
        <v>-1821942.81</v>
      </c>
      <c r="F97" s="48">
        <v>-3701119.55</v>
      </c>
      <c r="G97" s="48">
        <v>-1850923.92</v>
      </c>
      <c r="H97" s="48">
        <v>-3579972.2519999999</v>
      </c>
      <c r="I97" s="48">
        <v>-15161474.43</v>
      </c>
      <c r="J97" s="48">
        <v>-5127371.4469999997</v>
      </c>
      <c r="K97" s="48">
        <v>-15267633</v>
      </c>
      <c r="L97" s="48">
        <v>-10747600.33</v>
      </c>
      <c r="M97" s="48">
        <v>0</v>
      </c>
      <c r="N97" s="48">
        <v>0</v>
      </c>
      <c r="O97" s="48">
        <v>0</v>
      </c>
    </row>
    <row r="98" spans="1:15" x14ac:dyDescent="0.2">
      <c r="B98" s="47">
        <v>758</v>
      </c>
      <c r="C98" s="47" t="s">
        <v>125</v>
      </c>
      <c r="D98" s="48">
        <v>0</v>
      </c>
      <c r="E98" s="48">
        <v>0</v>
      </c>
      <c r="F98" s="48">
        <v>-7.45</v>
      </c>
      <c r="G98" s="48">
        <v>0</v>
      </c>
      <c r="H98" s="48">
        <v>-1.02</v>
      </c>
      <c r="I98" s="48">
        <v>-14.63</v>
      </c>
      <c r="J98" s="48">
        <v>0</v>
      </c>
      <c r="K98" s="48">
        <v>0</v>
      </c>
      <c r="L98" s="48">
        <v>0</v>
      </c>
      <c r="M98" s="48">
        <v>0</v>
      </c>
      <c r="N98" s="48">
        <v>0</v>
      </c>
      <c r="O98" s="48">
        <v>0</v>
      </c>
    </row>
    <row r="99" spans="1:15" x14ac:dyDescent="0.2">
      <c r="B99" s="47">
        <v>767</v>
      </c>
      <c r="C99" s="47" t="s">
        <v>226</v>
      </c>
      <c r="D99" s="48">
        <v>0</v>
      </c>
      <c r="E99" s="48">
        <v>0</v>
      </c>
      <c r="F99" s="48">
        <v>-3.28</v>
      </c>
      <c r="G99" s="48">
        <v>0</v>
      </c>
      <c r="H99" s="48">
        <v>0</v>
      </c>
      <c r="I99" s="48">
        <v>-19.12</v>
      </c>
      <c r="J99" s="48">
        <v>0</v>
      </c>
      <c r="K99" s="48">
        <v>0</v>
      </c>
      <c r="L99" s="48">
        <v>0</v>
      </c>
      <c r="M99" s="48">
        <v>0</v>
      </c>
      <c r="N99" s="48">
        <v>0</v>
      </c>
      <c r="O99" s="48">
        <v>0</v>
      </c>
    </row>
    <row r="100" spans="1:15" x14ac:dyDescent="0.2">
      <c r="B100" s="47">
        <v>769</v>
      </c>
      <c r="C100" s="47" t="s">
        <v>213</v>
      </c>
      <c r="D100" s="48">
        <v>-25804.91</v>
      </c>
      <c r="E100" s="48">
        <v>-18161.900000000001</v>
      </c>
      <c r="F100" s="48">
        <v>-1695.02</v>
      </c>
      <c r="G100" s="48">
        <v>-788</v>
      </c>
      <c r="H100" s="48">
        <v>-29021.07</v>
      </c>
      <c r="I100" s="48">
        <v>-54814.5</v>
      </c>
      <c r="J100" s="48">
        <v>-20827.62</v>
      </c>
      <c r="K100" s="48">
        <v>-10971.56</v>
      </c>
      <c r="L100" s="48">
        <v>-1.2</v>
      </c>
      <c r="M100" s="48">
        <v>0</v>
      </c>
      <c r="N100" s="48">
        <v>0</v>
      </c>
      <c r="O100" s="48">
        <v>0</v>
      </c>
    </row>
    <row r="101" spans="1:15" x14ac:dyDescent="0.2">
      <c r="B101" s="47">
        <v>772</v>
      </c>
      <c r="C101" s="47" t="s">
        <v>214</v>
      </c>
      <c r="D101" s="48">
        <v>0</v>
      </c>
      <c r="E101" s="48">
        <v>-2800000</v>
      </c>
      <c r="F101" s="48">
        <v>0</v>
      </c>
      <c r="G101" s="48">
        <v>0</v>
      </c>
      <c r="H101" s="48">
        <v>0</v>
      </c>
      <c r="I101" s="48">
        <v>0</v>
      </c>
      <c r="J101" s="48">
        <v>0</v>
      </c>
      <c r="K101" s="48">
        <v>0</v>
      </c>
      <c r="L101" s="48">
        <v>0</v>
      </c>
      <c r="M101" s="48">
        <v>0</v>
      </c>
      <c r="N101" s="48">
        <v>0</v>
      </c>
      <c r="O101" s="48">
        <v>0</v>
      </c>
    </row>
    <row r="102" spans="1:15" x14ac:dyDescent="0.2">
      <c r="B102" s="47">
        <v>791</v>
      </c>
      <c r="C102" s="47" t="s">
        <v>129</v>
      </c>
      <c r="D102" s="48">
        <v>0</v>
      </c>
      <c r="E102" s="48">
        <v>0</v>
      </c>
      <c r="F102" s="48">
        <v>0</v>
      </c>
      <c r="G102" s="48">
        <v>0</v>
      </c>
      <c r="H102" s="48">
        <v>0</v>
      </c>
      <c r="I102" s="48">
        <v>0</v>
      </c>
      <c r="J102" s="48">
        <v>0</v>
      </c>
      <c r="K102" s="48">
        <v>0</v>
      </c>
      <c r="L102" s="48">
        <v>-176445.78</v>
      </c>
      <c r="M102" s="48">
        <v>0</v>
      </c>
      <c r="N102" s="48">
        <v>0</v>
      </c>
      <c r="O102" s="48">
        <v>0</v>
      </c>
    </row>
    <row r="103" spans="1:15" x14ac:dyDescent="0.2">
      <c r="B103" s="47">
        <v>792</v>
      </c>
      <c r="C103" s="47" t="s">
        <v>126</v>
      </c>
      <c r="D103" s="48">
        <v>223172.33</v>
      </c>
      <c r="E103" s="48">
        <v>173376.42</v>
      </c>
      <c r="F103" s="48">
        <v>458705.28</v>
      </c>
      <c r="G103" s="48">
        <v>142389.23000000001</v>
      </c>
      <c r="H103" s="48">
        <v>557050.1</v>
      </c>
      <c r="I103" s="48">
        <v>36164.400000000001</v>
      </c>
      <c r="J103" s="48">
        <v>340988.04119999998</v>
      </c>
      <c r="K103" s="48">
        <v>632348.93000000005</v>
      </c>
      <c r="L103" s="48">
        <v>598266.67000000004</v>
      </c>
      <c r="M103" s="48">
        <v>0</v>
      </c>
      <c r="N103" s="48">
        <v>0</v>
      </c>
      <c r="O103" s="48">
        <v>0</v>
      </c>
    </row>
    <row r="105" spans="1:15" x14ac:dyDescent="0.2">
      <c r="C105" s="47" t="s">
        <v>259</v>
      </c>
      <c r="D105" s="48">
        <f>-SUM(D58:D96)</f>
        <v>-5049597.7664000001</v>
      </c>
      <c r="E105" s="48">
        <f t="shared" ref="E105:O105" si="0">-SUM(E58:E96)</f>
        <v>-2634317.6349999998</v>
      </c>
      <c r="F105" s="48">
        <f t="shared" si="0"/>
        <v>-5163469.3789999997</v>
      </c>
      <c r="G105" s="48">
        <f t="shared" si="0"/>
        <v>-5121616.8900000006</v>
      </c>
      <c r="H105" s="48">
        <f t="shared" si="0"/>
        <v>-5218879.4751999984</v>
      </c>
      <c r="I105" s="48">
        <f t="shared" si="0"/>
        <v>-18022079.391399998</v>
      </c>
      <c r="J105" s="48">
        <f t="shared" si="0"/>
        <v>-6383808.942999999</v>
      </c>
      <c r="K105" s="48">
        <f t="shared" si="0"/>
        <v>-13242938.442999998</v>
      </c>
      <c r="L105" s="48">
        <f t="shared" si="0"/>
        <v>-8617785.936999999</v>
      </c>
      <c r="M105" s="48">
        <f t="shared" si="0"/>
        <v>0</v>
      </c>
      <c r="N105" s="48">
        <f t="shared" si="0"/>
        <v>0</v>
      </c>
      <c r="O105" s="48">
        <f t="shared" si="0"/>
        <v>0</v>
      </c>
    </row>
    <row r="106" spans="1:15" x14ac:dyDescent="0.2">
      <c r="C106" s="47" t="s">
        <v>260</v>
      </c>
      <c r="D106" s="48">
        <f>+'P&amp;L'!H17+'P&amp;L'!H19+'P&amp;L'!H54</f>
        <v>-5189597.7664000001</v>
      </c>
      <c r="E106" s="48">
        <f>+'P&amp;L'!I17+'P&amp;L'!I19+'P&amp;L'!I54</f>
        <v>-2774317.6349999993</v>
      </c>
      <c r="F106" s="48">
        <f>+'P&amp;L'!J17+'P&amp;L'!J19+'P&amp;L'!J54</f>
        <v>-5303469.3790000007</v>
      </c>
      <c r="G106" s="48">
        <f>+'P&amp;L'!K17+'P&amp;L'!K19+'P&amp;L'!K54</f>
        <v>-5261616.8900000006</v>
      </c>
      <c r="H106" s="48">
        <f>+'P&amp;L'!L17+'P&amp;L'!L19+'P&amp;L'!L54</f>
        <v>-5358879.4751999993</v>
      </c>
      <c r="I106" s="48">
        <f>+'P&amp;L'!M17+'P&amp;L'!M19+'P&amp;L'!M54</f>
        <v>-18162079.391400002</v>
      </c>
      <c r="J106" s="48">
        <f>+'P&amp;L'!N17+'P&amp;L'!N19+'P&amp;L'!N54</f>
        <v>-6523808.943</v>
      </c>
      <c r="K106" s="48">
        <f>+'P&amp;L'!O17+'P&amp;L'!O19+'P&amp;L'!O54</f>
        <v>-13382938.443</v>
      </c>
      <c r="L106" s="48">
        <f>+'P&amp;L'!P17+'P&amp;L'!P19+'P&amp;L'!P54</f>
        <v>-8701505.9370000008</v>
      </c>
      <c r="M106" s="48">
        <f>+'P&amp;L'!Q17+'P&amp;L'!Q19+'P&amp;L'!Q54</f>
        <v>-9365800</v>
      </c>
      <c r="N106" s="48">
        <f>+'P&amp;L'!R17+'P&amp;L'!R19+'P&amp;L'!R54</f>
        <v>-17865800</v>
      </c>
      <c r="O106" s="48">
        <f>+'P&amp;L'!S17+'P&amp;L'!S19+'P&amp;L'!S54</f>
        <v>-26365800</v>
      </c>
    </row>
    <row r="107" spans="1:15" x14ac:dyDescent="0.2">
      <c r="C107" s="47" t="s">
        <v>261</v>
      </c>
      <c r="D107" s="48">
        <f>+D105-D106</f>
        <v>140000</v>
      </c>
      <c r="E107" s="48">
        <f t="shared" ref="E107:O107" si="1">+E105-E106</f>
        <v>139999.99999999953</v>
      </c>
      <c r="F107" s="48">
        <f t="shared" si="1"/>
        <v>140000.00000000093</v>
      </c>
      <c r="G107" s="48">
        <f t="shared" si="1"/>
        <v>140000</v>
      </c>
      <c r="H107" s="48">
        <f t="shared" si="1"/>
        <v>140000.00000000093</v>
      </c>
      <c r="I107" s="48">
        <f t="shared" si="1"/>
        <v>140000.00000000373</v>
      </c>
      <c r="J107" s="48">
        <f t="shared" si="1"/>
        <v>140000.00000000093</v>
      </c>
      <c r="K107" s="48">
        <f t="shared" si="1"/>
        <v>140000.00000000186</v>
      </c>
      <c r="L107" s="48">
        <f t="shared" si="1"/>
        <v>83720.000000001863</v>
      </c>
      <c r="M107" s="48">
        <f t="shared" si="1"/>
        <v>9365800</v>
      </c>
      <c r="N107" s="48">
        <f t="shared" si="1"/>
        <v>17865800</v>
      </c>
      <c r="O107" s="48">
        <f t="shared" si="1"/>
        <v>26365800</v>
      </c>
    </row>
    <row r="109" spans="1:15" x14ac:dyDescent="0.2">
      <c r="C109" s="47" t="s">
        <v>262</v>
      </c>
      <c r="D109" s="48">
        <f>-SUM(D97:D103)</f>
        <v>3757910.3530000001</v>
      </c>
      <c r="E109" s="48">
        <f t="shared" ref="E109:O109" si="2">-SUM(E97:E103)</f>
        <v>4466728.29</v>
      </c>
      <c r="F109" s="48">
        <f t="shared" si="2"/>
        <v>3244120.0199999996</v>
      </c>
      <c r="G109" s="48">
        <f t="shared" si="2"/>
        <v>1709322.69</v>
      </c>
      <c r="H109" s="48">
        <f t="shared" si="2"/>
        <v>3051944.2419999996</v>
      </c>
      <c r="I109" s="48">
        <f t="shared" si="2"/>
        <v>15180158.279999999</v>
      </c>
      <c r="J109" s="48">
        <f t="shared" si="2"/>
        <v>4807211.0257999999</v>
      </c>
      <c r="K109" s="48">
        <f t="shared" si="2"/>
        <v>14646255.630000001</v>
      </c>
      <c r="L109" s="48">
        <f t="shared" si="2"/>
        <v>10325780.639999999</v>
      </c>
      <c r="M109" s="48">
        <f t="shared" si="2"/>
        <v>0</v>
      </c>
      <c r="N109" s="48">
        <f t="shared" si="2"/>
        <v>0</v>
      </c>
      <c r="O109" s="48">
        <f t="shared" si="2"/>
        <v>0</v>
      </c>
    </row>
    <row r="110" spans="1:15" x14ac:dyDescent="0.2">
      <c r="C110" s="47" t="s">
        <v>263</v>
      </c>
      <c r="D110" s="48">
        <f>+'P&amp;L'!H14</f>
        <v>3757910.3530000001</v>
      </c>
      <c r="E110" s="48">
        <f>+'P&amp;L'!I14</f>
        <v>4466728.29</v>
      </c>
      <c r="F110" s="48">
        <f>+'P&amp;L'!J14</f>
        <v>3244120.0199999996</v>
      </c>
      <c r="G110" s="48">
        <f>+'P&amp;L'!K14</f>
        <v>1709322.69</v>
      </c>
      <c r="H110" s="48">
        <f>+'P&amp;L'!L14</f>
        <v>3051944.2419999996</v>
      </c>
      <c r="I110" s="48">
        <f>+'P&amp;L'!M14</f>
        <v>15180158.279999999</v>
      </c>
      <c r="J110" s="48">
        <f>+'P&amp;L'!N14</f>
        <v>4807211.0257999999</v>
      </c>
      <c r="K110" s="48">
        <f>+'P&amp;L'!O14</f>
        <v>14646255.630000001</v>
      </c>
      <c r="L110" s="48">
        <f>+'P&amp;L'!P14</f>
        <v>10325780.639999999</v>
      </c>
      <c r="M110" s="48">
        <f>+'P&amp;L'!Q14</f>
        <v>15000000</v>
      </c>
      <c r="N110" s="48">
        <f>+'P&amp;L'!R14</f>
        <v>25000000</v>
      </c>
      <c r="O110" s="48">
        <f>+'P&amp;L'!S14</f>
        <v>35000000</v>
      </c>
    </row>
    <row r="111" spans="1:15" x14ac:dyDescent="0.2">
      <c r="C111" s="47" t="s">
        <v>261</v>
      </c>
      <c r="D111" s="48">
        <f>+D109-D110</f>
        <v>0</v>
      </c>
      <c r="E111" s="48">
        <f t="shared" ref="E111:O111" si="3">+E109-E110</f>
        <v>0</v>
      </c>
      <c r="F111" s="48">
        <f t="shared" si="3"/>
        <v>0</v>
      </c>
      <c r="G111" s="48">
        <f t="shared" si="3"/>
        <v>0</v>
      </c>
      <c r="H111" s="48">
        <f t="shared" si="3"/>
        <v>0</v>
      </c>
      <c r="I111" s="48">
        <f t="shared" si="3"/>
        <v>0</v>
      </c>
      <c r="J111" s="48">
        <f t="shared" si="3"/>
        <v>0</v>
      </c>
      <c r="K111" s="48">
        <f t="shared" si="3"/>
        <v>0</v>
      </c>
      <c r="L111" s="48">
        <f t="shared" si="3"/>
        <v>0</v>
      </c>
      <c r="M111" s="48">
        <f t="shared" si="3"/>
        <v>-15000000</v>
      </c>
      <c r="N111" s="48">
        <f t="shared" si="3"/>
        <v>-25000000</v>
      </c>
      <c r="O111" s="48">
        <f t="shared" si="3"/>
        <v>-35000000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P&amp;L</vt:lpstr>
      <vt:lpstr>CashFlow</vt:lpstr>
      <vt:lpstr>Inventories</vt:lpstr>
      <vt:lpstr>VAT</vt:lpstr>
      <vt:lpstr>dividenti</vt:lpstr>
      <vt:lpstr>lv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2017-10-13T09:28:21Z</dcterms:modified>
</cp:coreProperties>
</file>