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8431"/>
  <workbookPr filterPrivacy="1" defaultThemeVersion="124226"/>
  <xr:revisionPtr revIDLastSave="84" documentId="777FEEC1CFE2886D3C64B8647C4060CAC178E6E2" xr6:coauthVersionLast="23" xr6:coauthVersionMax="23" xr10:uidLastSave="{24512A77-F83D-4C6F-AE28-E4D7ACCB9C9E}"/>
  <bookViews>
    <workbookView xWindow="240" yWindow="105" windowWidth="14805" windowHeight="8010" xr2:uid="{00000000-000D-0000-FFFF-FFFF00000000}"/>
  </bookViews>
  <sheets>
    <sheet name="P&amp;L" sheetId="5" r:id="rId1"/>
    <sheet name="CashFlow" sheetId="8" r:id="rId2"/>
    <sheet name="Inventories" sheetId="9" r:id="rId3"/>
    <sheet name="VAT" sheetId="11" r:id="rId4"/>
    <sheet name="dividenti" sheetId="13" r:id="rId5"/>
    <sheet name="lv" sheetId="12" r:id="rId6"/>
  </sheets>
  <calcPr calcId="171027"/>
  <fileRecoveryPr autoRecover="0"/>
</workbook>
</file>

<file path=xl/calcChain.xml><?xml version="1.0" encoding="utf-8"?>
<calcChain xmlns="http://schemas.openxmlformats.org/spreadsheetml/2006/main">
  <c r="P16" i="11" l="1"/>
  <c r="E18" i="11" s="1"/>
  <c r="F11" i="9"/>
  <c r="G11" i="9"/>
  <c r="H11" i="9"/>
  <c r="I11" i="9"/>
  <c r="J11" i="9"/>
  <c r="K11" i="9"/>
  <c r="L11" i="9"/>
  <c r="M11" i="9"/>
  <c r="M9" i="9"/>
  <c r="F9" i="9"/>
  <c r="G9" i="9"/>
  <c r="H9" i="9"/>
  <c r="I9" i="9"/>
  <c r="J9" i="9"/>
  <c r="K9" i="9"/>
  <c r="L9" i="9"/>
  <c r="E9" i="9"/>
  <c r="T60" i="5"/>
  <c r="I28" i="5"/>
  <c r="J28" i="5"/>
  <c r="K28" i="5"/>
  <c r="L28" i="5"/>
  <c r="M28" i="5"/>
  <c r="N28" i="5"/>
  <c r="O28" i="5"/>
  <c r="P28" i="5"/>
  <c r="H28" i="5"/>
  <c r="H30" i="5"/>
  <c r="M10" i="5"/>
  <c r="N10" i="5"/>
  <c r="O10" i="5"/>
  <c r="P10" i="5"/>
  <c r="L10" i="5"/>
  <c r="E50" i="12"/>
  <c r="F50" i="12"/>
  <c r="G50" i="12"/>
  <c r="H50" i="12"/>
  <c r="I50" i="12"/>
  <c r="J50" i="12"/>
  <c r="K50" i="12"/>
  <c r="L50" i="12"/>
  <c r="D50" i="12"/>
  <c r="E46" i="12"/>
  <c r="F46" i="12"/>
  <c r="G46" i="12"/>
  <c r="H46" i="12"/>
  <c r="I46" i="12"/>
  <c r="J46" i="12"/>
  <c r="K46" i="12"/>
  <c r="L46" i="12"/>
  <c r="D46" i="12"/>
  <c r="N30" i="5"/>
  <c r="O30" i="5"/>
  <c r="P30" i="5"/>
  <c r="N34" i="5"/>
  <c r="O34" i="5"/>
  <c r="P34" i="5"/>
  <c r="N37" i="5"/>
  <c r="O37" i="5"/>
  <c r="P37" i="5"/>
  <c r="N39" i="5"/>
  <c r="O39" i="5"/>
  <c r="P39" i="5"/>
  <c r="N42" i="5"/>
  <c r="O42" i="5"/>
  <c r="P42" i="5"/>
  <c r="N43" i="5"/>
  <c r="O43" i="5"/>
  <c r="P43" i="5"/>
  <c r="N44" i="5"/>
  <c r="O44" i="5"/>
  <c r="P44" i="5"/>
  <c r="N45" i="5"/>
  <c r="O45" i="5"/>
  <c r="P45" i="5"/>
  <c r="N47" i="5"/>
  <c r="O47" i="5"/>
  <c r="P47" i="5"/>
  <c r="N48" i="5"/>
  <c r="O48" i="5"/>
  <c r="P48" i="5"/>
  <c r="N49" i="5"/>
  <c r="O49" i="5"/>
  <c r="P49" i="5"/>
  <c r="N20" i="5"/>
  <c r="O20" i="5"/>
  <c r="P20" i="5"/>
  <c r="N8" i="5"/>
  <c r="O8" i="5"/>
  <c r="P8" i="5"/>
  <c r="N11" i="5"/>
  <c r="O11" i="5"/>
  <c r="P11" i="5"/>
  <c r="N12" i="5"/>
  <c r="O12" i="5"/>
  <c r="P12" i="5"/>
  <c r="N13" i="5"/>
  <c r="O13" i="5"/>
  <c r="P13" i="5"/>
  <c r="N14" i="5"/>
  <c r="O14" i="5"/>
  <c r="P14" i="5"/>
  <c r="N15" i="5"/>
  <c r="O15" i="5"/>
  <c r="P15" i="5"/>
  <c r="N21" i="5" l="1"/>
  <c r="P21" i="5"/>
  <c r="O21" i="5"/>
  <c r="Z3" i="13"/>
  <c r="I48" i="5"/>
  <c r="J48" i="5"/>
  <c r="K48" i="5"/>
  <c r="L48" i="5"/>
  <c r="M48" i="5"/>
  <c r="H48" i="5"/>
  <c r="H47" i="5"/>
  <c r="L30" i="5"/>
  <c r="M30" i="5"/>
  <c r="L34" i="5"/>
  <c r="M34" i="5"/>
  <c r="L37" i="5"/>
  <c r="M37" i="5"/>
  <c r="L39" i="5"/>
  <c r="M39" i="5"/>
  <c r="L42" i="5"/>
  <c r="M42" i="5"/>
  <c r="L43" i="5"/>
  <c r="M43" i="5"/>
  <c r="L44" i="5"/>
  <c r="M44" i="5"/>
  <c r="L45" i="5"/>
  <c r="M45" i="5"/>
  <c r="L47" i="5"/>
  <c r="M47" i="5"/>
  <c r="L49" i="5"/>
  <c r="M49" i="5"/>
  <c r="L20" i="5"/>
  <c r="M20" i="5"/>
  <c r="L8" i="5"/>
  <c r="M8" i="5"/>
  <c r="L11" i="5"/>
  <c r="M11" i="5"/>
  <c r="L12" i="5"/>
  <c r="M12" i="5"/>
  <c r="L13" i="5"/>
  <c r="M13" i="5"/>
  <c r="L14" i="5"/>
  <c r="M14" i="5"/>
  <c r="L15" i="5"/>
  <c r="M15" i="5"/>
  <c r="L21" i="5" l="1"/>
  <c r="M21" i="5"/>
  <c r="P46" i="8"/>
  <c r="O46" i="8"/>
  <c r="N46" i="8"/>
  <c r="M46" i="8"/>
  <c r="L46" i="8"/>
  <c r="K46" i="8"/>
  <c r="J46" i="8"/>
  <c r="I46" i="8"/>
  <c r="H46" i="8"/>
  <c r="G46" i="8"/>
  <c r="F46" i="8"/>
  <c r="E46" i="8"/>
  <c r="P49" i="8"/>
  <c r="O49" i="8"/>
  <c r="N49" i="8"/>
  <c r="M49" i="8"/>
  <c r="L49" i="8"/>
  <c r="K49" i="8"/>
  <c r="J49" i="8"/>
  <c r="I49" i="8"/>
  <c r="H49" i="8"/>
  <c r="G49" i="8"/>
  <c r="F49" i="8"/>
  <c r="E49" i="8"/>
  <c r="T59" i="5" l="1"/>
  <c r="K37" i="5"/>
  <c r="J37" i="5"/>
  <c r="I37" i="5"/>
  <c r="H37" i="5"/>
  <c r="E20" i="9" l="1"/>
  <c r="E10" i="8"/>
  <c r="S45" i="5"/>
  <c r="R45" i="5"/>
  <c r="Q45" i="5"/>
  <c r="S20" i="5"/>
  <c r="R20" i="5"/>
  <c r="Q20" i="5"/>
  <c r="H20" i="5"/>
  <c r="T9" i="5"/>
  <c r="T7" i="5"/>
  <c r="K10" i="5"/>
  <c r="J10" i="5"/>
  <c r="I10" i="5"/>
  <c r="H10" i="5"/>
  <c r="H11" i="5"/>
  <c r="S13" i="5"/>
  <c r="R13" i="5"/>
  <c r="Q13" i="5"/>
  <c r="K13" i="5"/>
  <c r="J13" i="5"/>
  <c r="I13" i="5"/>
  <c r="S12" i="5"/>
  <c r="R12" i="5"/>
  <c r="Q12" i="5"/>
  <c r="K12" i="5"/>
  <c r="J12" i="5"/>
  <c r="I12" i="5"/>
  <c r="S11" i="5"/>
  <c r="R11" i="5"/>
  <c r="Q11" i="5"/>
  <c r="K11" i="5"/>
  <c r="J11" i="5"/>
  <c r="I11" i="5"/>
  <c r="H13" i="5"/>
  <c r="H12" i="5"/>
  <c r="T51" i="5"/>
  <c r="T50" i="5"/>
  <c r="T46" i="5"/>
  <c r="T41" i="5"/>
  <c r="T40" i="5"/>
  <c r="T38" i="5"/>
  <c r="T36" i="5"/>
  <c r="T35" i="5"/>
  <c r="T33" i="5"/>
  <c r="T32" i="5"/>
  <c r="T31" i="5"/>
  <c r="T29" i="5"/>
  <c r="T28" i="5"/>
  <c r="S49" i="5"/>
  <c r="R49" i="5"/>
  <c r="Q49" i="5"/>
  <c r="K49" i="5"/>
  <c r="J49" i="5"/>
  <c r="I49" i="5"/>
  <c r="H49" i="5"/>
  <c r="K47" i="5"/>
  <c r="J47" i="5"/>
  <c r="I47" i="5"/>
  <c r="H45" i="5"/>
  <c r="S30" i="5"/>
  <c r="R30" i="5"/>
  <c r="Q30" i="5"/>
  <c r="K30" i="5"/>
  <c r="J30" i="5"/>
  <c r="I30" i="5"/>
  <c r="I8" i="5"/>
  <c r="J8" i="5"/>
  <c r="K8" i="5"/>
  <c r="T10" i="5" l="1"/>
  <c r="T11" i="5"/>
  <c r="T12" i="5"/>
  <c r="T13" i="5"/>
  <c r="T30" i="5"/>
  <c r="T48" i="5"/>
  <c r="T49" i="5"/>
  <c r="T47" i="5"/>
  <c r="P47" i="8"/>
  <c r="P50" i="8"/>
  <c r="L10" i="8" l="1"/>
  <c r="M10" i="8"/>
  <c r="N10" i="8"/>
  <c r="O10" i="8"/>
  <c r="P10" i="8"/>
  <c r="F10" i="8"/>
  <c r="G10" i="8"/>
  <c r="H10" i="8"/>
  <c r="I10" i="8"/>
  <c r="J10" i="8"/>
  <c r="K10" i="8"/>
  <c r="S22" i="5"/>
  <c r="P22" i="5"/>
  <c r="I20" i="5"/>
  <c r="J20" i="5"/>
  <c r="K20" i="5"/>
  <c r="H8" i="5"/>
  <c r="T8" i="5" l="1"/>
  <c r="H21" i="5"/>
  <c r="J21" i="5"/>
  <c r="K21" i="5"/>
  <c r="I21" i="5"/>
  <c r="J42" i="5"/>
  <c r="F23" i="9" l="1"/>
  <c r="G23" i="9"/>
  <c r="H23" i="9"/>
  <c r="I23" i="9"/>
  <c r="J23" i="9"/>
  <c r="K23" i="9"/>
  <c r="L23" i="9"/>
  <c r="M23" i="9"/>
  <c r="N23" i="9"/>
  <c r="O23" i="9"/>
  <c r="P23" i="9"/>
  <c r="E23" i="9"/>
  <c r="P11" i="9" l="1"/>
  <c r="K39" i="5"/>
  <c r="J39" i="5"/>
  <c r="I39" i="5"/>
  <c r="K34" i="5"/>
  <c r="J34" i="5"/>
  <c r="I34" i="5"/>
  <c r="H34" i="5"/>
  <c r="T34" i="5" l="1"/>
  <c r="R43" i="5"/>
  <c r="R42" i="5"/>
  <c r="K45" i="5" l="1"/>
  <c r="K44" i="5"/>
  <c r="K8" i="11" l="1"/>
  <c r="L8" i="11"/>
  <c r="M8" i="11"/>
  <c r="N8" i="11"/>
  <c r="O8" i="11"/>
  <c r="P8" i="11"/>
  <c r="I44" i="5"/>
  <c r="J44" i="5"/>
  <c r="I45" i="5"/>
  <c r="J45" i="5"/>
  <c r="H44" i="5"/>
  <c r="I42" i="5"/>
  <c r="K42" i="5"/>
  <c r="Q42" i="5"/>
  <c r="S42" i="5"/>
  <c r="I43" i="5"/>
  <c r="K43" i="5"/>
  <c r="Q43" i="5"/>
  <c r="S43" i="5"/>
  <c r="H43" i="5"/>
  <c r="H42" i="5"/>
  <c r="H39" i="5"/>
  <c r="T39" i="5" s="1"/>
  <c r="H8" i="11"/>
  <c r="I8" i="11"/>
  <c r="J8" i="11"/>
  <c r="G8" i="11"/>
  <c r="F8" i="11"/>
  <c r="T37" i="5"/>
  <c r="I14" i="5"/>
  <c r="J14" i="5"/>
  <c r="K14" i="5"/>
  <c r="Q14" i="5"/>
  <c r="R14" i="5"/>
  <c r="S14" i="5"/>
  <c r="I15" i="5"/>
  <c r="J15" i="5"/>
  <c r="K15" i="5"/>
  <c r="Q15" i="5"/>
  <c r="R15" i="5"/>
  <c r="S15" i="5"/>
  <c r="H15" i="5"/>
  <c r="H14" i="5"/>
  <c r="T43" i="5" l="1"/>
  <c r="T45" i="5"/>
  <c r="T42" i="5"/>
  <c r="T44" i="5"/>
  <c r="I53" i="5"/>
  <c r="E47" i="12" s="1"/>
  <c r="E48" i="12" s="1"/>
  <c r="E8" i="11"/>
  <c r="H53" i="5"/>
  <c r="D47" i="12" s="1"/>
  <c r="D48" i="12" s="1"/>
  <c r="H22" i="5"/>
  <c r="K22" i="5" l="1"/>
  <c r="L22" i="5"/>
  <c r="M22" i="5"/>
  <c r="N22" i="5"/>
  <c r="O22" i="5"/>
  <c r="Q22" i="5"/>
  <c r="R22" i="5"/>
  <c r="I22" i="5"/>
  <c r="L12" i="8"/>
  <c r="M12" i="8"/>
  <c r="N12" i="8"/>
  <c r="O12" i="8"/>
  <c r="P12" i="8"/>
  <c r="K12" i="8"/>
  <c r="H12" i="8"/>
  <c r="I12" i="8"/>
  <c r="J12" i="8"/>
  <c r="G12" i="8"/>
  <c r="J22" i="5"/>
  <c r="T14" i="5" l="1"/>
  <c r="F12" i="8"/>
  <c r="T15" i="5"/>
  <c r="F25" i="9"/>
  <c r="I9" i="11"/>
  <c r="H9" i="11"/>
  <c r="G9" i="11"/>
  <c r="F9" i="11"/>
  <c r="I25" i="9"/>
  <c r="H25" i="9"/>
  <c r="G25" i="9"/>
  <c r="E21" i="9"/>
  <c r="P26" i="8" l="1"/>
  <c r="L26" i="8"/>
  <c r="F26" i="8"/>
  <c r="O26" i="8"/>
  <c r="M26" i="8"/>
  <c r="J26" i="8"/>
  <c r="I26" i="8"/>
  <c r="H26" i="8"/>
  <c r="N26" i="8"/>
  <c r="K26" i="8"/>
  <c r="G26" i="8"/>
  <c r="E26" i="8"/>
  <c r="P37" i="8"/>
  <c r="O37" i="8"/>
  <c r="N37" i="8"/>
  <c r="M37" i="8"/>
  <c r="L37" i="8"/>
  <c r="K37" i="8"/>
  <c r="J37" i="8"/>
  <c r="I37" i="8"/>
  <c r="H37" i="8"/>
  <c r="G37" i="8"/>
  <c r="F37" i="8"/>
  <c r="E37" i="8"/>
  <c r="E11" i="8" l="1"/>
  <c r="E12" i="8"/>
  <c r="F27" i="9" l="1"/>
  <c r="P27" i="9"/>
  <c r="G27" i="9"/>
  <c r="E11" i="9" l="1"/>
  <c r="T22" i="5"/>
  <c r="E27" i="9" l="1"/>
  <c r="E13" i="9"/>
  <c r="H17" i="5" l="1"/>
  <c r="D51" i="12" s="1"/>
  <c r="D52" i="12" s="1"/>
  <c r="T6" i="5"/>
  <c r="T16" i="5"/>
  <c r="P17" i="5"/>
  <c r="L51" i="12" s="1"/>
  <c r="L52" i="12" s="1"/>
  <c r="L17" i="5"/>
  <c r="H51" i="12" s="1"/>
  <c r="H52" i="12" s="1"/>
  <c r="K17" i="5"/>
  <c r="J17" i="5"/>
  <c r="I17" i="5"/>
  <c r="F12" i="11" l="1"/>
  <c r="E51" i="12"/>
  <c r="E52" i="12" s="1"/>
  <c r="G12" i="11"/>
  <c r="F51" i="12"/>
  <c r="F52" i="12" s="1"/>
  <c r="H12" i="11"/>
  <c r="G51" i="12"/>
  <c r="G52" i="12" s="1"/>
  <c r="M8" i="8"/>
  <c r="M12" i="11"/>
  <c r="I8" i="8"/>
  <c r="I12" i="11"/>
  <c r="E12" i="11"/>
  <c r="F8" i="8"/>
  <c r="G8" i="8"/>
  <c r="H8" i="8"/>
  <c r="E8" i="8"/>
  <c r="H55" i="5"/>
  <c r="M9" i="11"/>
  <c r="M25" i="9"/>
  <c r="N17" i="5"/>
  <c r="J51" i="12" s="1"/>
  <c r="J52" i="12" s="1"/>
  <c r="R17" i="5"/>
  <c r="M17" i="5"/>
  <c r="I51" i="12" s="1"/>
  <c r="I52" i="12" s="1"/>
  <c r="O17" i="5"/>
  <c r="K51" i="12" s="1"/>
  <c r="K52" i="12" s="1"/>
  <c r="Q17" i="5"/>
  <c r="F11" i="8"/>
  <c r="S17" i="5"/>
  <c r="T27" i="5"/>
  <c r="T53" i="5" s="1"/>
  <c r="T17" i="5"/>
  <c r="E20" i="11" s="1"/>
  <c r="J53" i="5"/>
  <c r="F47" i="12" s="1"/>
  <c r="F48" i="12" s="1"/>
  <c r="L53" i="5"/>
  <c r="H47" i="12" s="1"/>
  <c r="H48" i="12" s="1"/>
  <c r="N53" i="5"/>
  <c r="P53" i="5"/>
  <c r="R53" i="5"/>
  <c r="O11" i="8" s="1"/>
  <c r="K53" i="5"/>
  <c r="G47" i="12" s="1"/>
  <c r="G48" i="12" s="1"/>
  <c r="O53" i="5"/>
  <c r="S53" i="5"/>
  <c r="P11" i="8" s="1"/>
  <c r="L11" i="8" l="1"/>
  <c r="K47" i="12"/>
  <c r="K48" i="12" s="1"/>
  <c r="K11" i="8"/>
  <c r="J47" i="12"/>
  <c r="J48" i="12" s="1"/>
  <c r="M11" i="8"/>
  <c r="M15" i="8" s="1"/>
  <c r="M39" i="8" s="1"/>
  <c r="L47" i="12"/>
  <c r="L48" i="12" s="1"/>
  <c r="I11" i="8"/>
  <c r="I15" i="8" s="1"/>
  <c r="I39" i="8" s="1"/>
  <c r="P8" i="8"/>
  <c r="P12" i="11"/>
  <c r="J8" i="8"/>
  <c r="J12" i="11"/>
  <c r="L8" i="8"/>
  <c r="L15" i="8" s="1"/>
  <c r="L39" i="8" s="1"/>
  <c r="L12" i="11"/>
  <c r="O8" i="8"/>
  <c r="O15" i="8" s="1"/>
  <c r="O39" i="8" s="1"/>
  <c r="O12" i="11"/>
  <c r="N8" i="8"/>
  <c r="N12" i="11"/>
  <c r="K8" i="8"/>
  <c r="K12" i="11"/>
  <c r="G11" i="8"/>
  <c r="G15" i="8" s="1"/>
  <c r="G39" i="8" s="1"/>
  <c r="J25" i="9"/>
  <c r="J9" i="11"/>
  <c r="L25" i="9"/>
  <c r="L9" i="11"/>
  <c r="O9" i="11"/>
  <c r="O25" i="9"/>
  <c r="N9" i="11"/>
  <c r="N25" i="9"/>
  <c r="H11" i="8"/>
  <c r="H15" i="8" s="1"/>
  <c r="H39" i="8" s="1"/>
  <c r="K55" i="5"/>
  <c r="S55" i="5"/>
  <c r="I55" i="5"/>
  <c r="F15" i="8"/>
  <c r="F39" i="8" s="1"/>
  <c r="J55" i="5"/>
  <c r="Q53" i="5"/>
  <c r="N11" i="8" s="1"/>
  <c r="M53" i="5"/>
  <c r="I47" i="12" s="1"/>
  <c r="I48" i="12" s="1"/>
  <c r="J11" i="8" l="1"/>
  <c r="J15" i="8" s="1"/>
  <c r="J39" i="8" s="1"/>
  <c r="N15" i="8"/>
  <c r="N39" i="8" s="1"/>
  <c r="F5" i="9" l="1"/>
  <c r="E9" i="11"/>
  <c r="E14" i="11" s="1"/>
  <c r="E15" i="8"/>
  <c r="E39" i="8" s="1"/>
  <c r="E41" i="8" s="1"/>
  <c r="E25" i="9"/>
  <c r="E29" i="9" s="1"/>
  <c r="F21" i="9" s="1"/>
  <c r="F29" i="9" s="1"/>
  <c r="G21" i="9" s="1"/>
  <c r="G29" i="9" s="1"/>
  <c r="H21" i="9" s="1"/>
  <c r="K9" i="11"/>
  <c r="K15" i="8"/>
  <c r="K39" i="8" s="1"/>
  <c r="K25" i="9"/>
  <c r="P9" i="11"/>
  <c r="P15" i="8"/>
  <c r="P39" i="8" s="1"/>
  <c r="P25" i="9"/>
  <c r="F5" i="8" l="1"/>
  <c r="F41" i="8" s="1"/>
  <c r="E43" i="8"/>
  <c r="E16" i="11"/>
  <c r="F5" i="11"/>
  <c r="F14" i="11" s="1"/>
  <c r="F13" i="9"/>
  <c r="G5" i="9" s="1"/>
  <c r="F16" i="11" l="1"/>
  <c r="G5" i="11"/>
  <c r="G14" i="11" s="1"/>
  <c r="G5" i="8"/>
  <c r="G41" i="8" s="1"/>
  <c r="F43" i="8"/>
  <c r="G13" i="9"/>
  <c r="H5" i="9" s="1"/>
  <c r="G16" i="11" l="1"/>
  <c r="H5" i="11"/>
  <c r="H14" i="11" s="1"/>
  <c r="H5" i="8"/>
  <c r="H41" i="8" s="1"/>
  <c r="G43" i="8"/>
  <c r="I5" i="8" l="1"/>
  <c r="I41" i="8" s="1"/>
  <c r="H43" i="8"/>
  <c r="H16" i="11"/>
  <c r="I5" i="11"/>
  <c r="I14" i="11" s="1"/>
  <c r="J5" i="8" l="1"/>
  <c r="J41" i="8" s="1"/>
  <c r="I43" i="8"/>
  <c r="I16" i="11"/>
  <c r="J5" i="11"/>
  <c r="J14" i="11" s="1"/>
  <c r="K5" i="8" l="1"/>
  <c r="K41" i="8" s="1"/>
  <c r="J43" i="8"/>
  <c r="J16" i="11"/>
  <c r="K5" i="11"/>
  <c r="K14" i="11" s="1"/>
  <c r="L5" i="8" l="1"/>
  <c r="L41" i="8" s="1"/>
  <c r="K43" i="8"/>
  <c r="K16" i="11"/>
  <c r="L5" i="11"/>
  <c r="L14" i="11" s="1"/>
  <c r="L16" i="11" s="1"/>
  <c r="M5" i="8" l="1"/>
  <c r="M41" i="8" s="1"/>
  <c r="L43" i="8"/>
  <c r="M5" i="11"/>
  <c r="M14" i="11" s="1"/>
  <c r="N5" i="8" l="1"/>
  <c r="N41" i="8" s="1"/>
  <c r="M43" i="8"/>
  <c r="M16" i="11"/>
  <c r="N5" i="11"/>
  <c r="N14" i="11" s="1"/>
  <c r="O5" i="8" l="1"/>
  <c r="O41" i="8" s="1"/>
  <c r="N43" i="8"/>
  <c r="N16" i="11"/>
  <c r="O5" i="11"/>
  <c r="O14" i="11" s="1"/>
  <c r="P5" i="8" l="1"/>
  <c r="P41" i="8" s="1"/>
  <c r="P43" i="8" s="1"/>
  <c r="O43" i="8"/>
  <c r="O16" i="11"/>
  <c r="P5" i="11"/>
  <c r="P14" i="11" s="1"/>
  <c r="R55" i="5"/>
  <c r="E22" i="11" l="1"/>
  <c r="O11" i="9"/>
  <c r="O27" i="9" s="1"/>
  <c r="O55" i="5"/>
  <c r="L27" i="9"/>
  <c r="L55" i="5"/>
  <c r="I27" i="9"/>
  <c r="P55" i="5"/>
  <c r="M27" i="9"/>
  <c r="M55" i="5"/>
  <c r="J27" i="9"/>
  <c r="Q55" i="5"/>
  <c r="N11" i="9"/>
  <c r="N27" i="9" s="1"/>
  <c r="N55" i="5"/>
  <c r="K27" i="9"/>
  <c r="H27" i="9"/>
  <c r="H29" i="9" s="1"/>
  <c r="I21" i="9" s="1"/>
  <c r="T20" i="5"/>
  <c r="T55" i="5" s="1"/>
  <c r="T57" i="5" s="1"/>
  <c r="I29" i="9" l="1"/>
  <c r="J21" i="9" s="1"/>
  <c r="J29" i="9" s="1"/>
  <c r="K21" i="9" s="1"/>
  <c r="K29" i="9" s="1"/>
  <c r="L21" i="9" s="1"/>
  <c r="L29" i="9" s="1"/>
  <c r="M21" i="9" s="1"/>
  <c r="M29" i="9" s="1"/>
  <c r="N21" i="9" s="1"/>
  <c r="N29" i="9" s="1"/>
  <c r="O21" i="9" s="1"/>
  <c r="O29" i="9" s="1"/>
  <c r="P21" i="9" s="1"/>
  <c r="P29" i="9" s="1"/>
  <c r="H13" i="9"/>
  <c r="I5" i="9" s="1"/>
  <c r="I13" i="9" s="1"/>
  <c r="J5" i="9" s="1"/>
  <c r="J13" i="9" s="1"/>
  <c r="K5" i="9" s="1"/>
  <c r="K13" i="9" s="1"/>
  <c r="L5" i="9" s="1"/>
  <c r="L13" i="9" s="1"/>
  <c r="M5" i="9" s="1"/>
  <c r="M13" i="9" s="1"/>
  <c r="N5" i="9" s="1"/>
  <c r="N13" i="9" s="1"/>
  <c r="O5" i="9" s="1"/>
  <c r="O13" i="9" s="1"/>
  <c r="P5" i="9" s="1"/>
  <c r="P13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4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peshorja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C9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TVSH ne dogane</t>
        </r>
      </text>
    </comment>
    <comment ref="E13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TVSH nga ndryshimi I destinacionit te aktivitetit te objektit te ndertuar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AB2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Nga fitimi pas tatimit, i realizuar gjatë vitit financiar paraardhës, duke zbritur shpenzimet, 
shoqëria duhet të kalojë në rezervën ligjore, të paktën 5 për qind të kësaj vlere, derisa kjo rezervë të jetë e barabartë me 10 për qind të kapitalit të regjistruar të shoqërisë, apo me një vlerë më të lartë, të 
përcaktuar në statut.</t>
        </r>
      </text>
    </comment>
  </commentList>
</comments>
</file>

<file path=xl/sharedStrings.xml><?xml version="1.0" encoding="utf-8"?>
<sst xmlns="http://schemas.openxmlformats.org/spreadsheetml/2006/main" count="246" uniqueCount="211">
  <si>
    <t>Te Ardhura &amp; Shpenzime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</si>
  <si>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</si>
  <si>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</si>
  <si>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</si>
  <si>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</si>
  <si>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</si>
  <si>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</si>
  <si>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</si>
  <si>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</si>
  <si>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</si>
  <si>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</si>
  <si>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Nentor</t>
  </si>
  <si>
    <t>Dhjetor</t>
  </si>
  <si>
    <t>Totali</t>
  </si>
  <si>
    <t>Te Ardhura</t>
  </si>
  <si>
    <t>Te Ardhura nga Sherbimet</t>
  </si>
  <si>
    <t>Shitje e Mallrave</t>
  </si>
  <si>
    <t>Totali I Te Ardhurave</t>
  </si>
  <si>
    <t>Zbritje</t>
  </si>
  <si>
    <t>Shpenzimet Operative</t>
  </si>
  <si>
    <t>Uje,energji elektrike,gaz</t>
  </si>
  <si>
    <t>Shpenzime Mirembajtje</t>
  </si>
  <si>
    <t>Shpenzime Komunikimi dhe Postare</t>
  </si>
  <si>
    <t>Shpenzime Transporti</t>
  </si>
  <si>
    <t>Shpenzime Udhetimi &amp; Akomodimi</t>
  </si>
  <si>
    <t>Shpenzime Sigurimi</t>
  </si>
  <si>
    <t>Shpenzime per Dhurata,Pritje e Percjellje</t>
  </si>
  <si>
    <t>Borxhi I Keq</t>
  </si>
  <si>
    <t>Totali I Shpenzimeve Operacionale</t>
  </si>
  <si>
    <t>Fitim/(Humbje)</t>
  </si>
  <si>
    <t>Kosto e Mallrave te Shitura</t>
  </si>
  <si>
    <t>Shpenzime per Blerje te Pastokueshme</t>
  </si>
  <si>
    <t>Shpenzime bankare</t>
  </si>
  <si>
    <t>Akcize</t>
  </si>
  <si>
    <t>Takse doganore</t>
  </si>
  <si>
    <t>Taksa e tarifa vendore</t>
  </si>
  <si>
    <t>Te tjera Tatime e Taksa</t>
  </si>
  <si>
    <t>Personel paga</t>
  </si>
  <si>
    <t>Personel kontribute</t>
  </si>
  <si>
    <t>Shpenzime te tjera rrjedhese</t>
  </si>
  <si>
    <t>Shpenzime Amortizimi</t>
  </si>
  <si>
    <t>tatimi mbi fitimin paraprak</t>
  </si>
  <si>
    <t>tatimi mbi fitimin diference</t>
  </si>
  <si>
    <t>%</t>
  </si>
  <si>
    <t>Shitje e Mallrave me Shumice</t>
  </si>
  <si>
    <t>Margin</t>
  </si>
  <si>
    <t>Cash Flow Statement</t>
  </si>
  <si>
    <t>For the Year Ending</t>
  </si>
  <si>
    <t>Cash at Beginning of Period</t>
  </si>
  <si>
    <t>Operations</t>
  </si>
  <si>
    <t>Cash receipts from customers</t>
  </si>
  <si>
    <t>Cash paid for</t>
  </si>
  <si>
    <t>Inventory purchases</t>
  </si>
  <si>
    <t>General operating and administrative expenses</t>
  </si>
  <si>
    <t>Wage expenses</t>
  </si>
  <si>
    <t>Interest</t>
  </si>
  <si>
    <t>Income taxes</t>
  </si>
  <si>
    <t>Net Cash Flow from Operations</t>
  </si>
  <si>
    <t>[42]</t>
  </si>
  <si>
    <t>Investing Activities</t>
  </si>
  <si>
    <t>Cash receipts from</t>
  </si>
  <si>
    <t>Sale of property and equipment</t>
  </si>
  <si>
    <t>Collection of principal on loans</t>
  </si>
  <si>
    <t>Sale of investment securities</t>
  </si>
  <si>
    <t>Purchase of property and equipment</t>
  </si>
  <si>
    <t>Making loans to other entities</t>
  </si>
  <si>
    <t>Purchase of investment securities</t>
  </si>
  <si>
    <t>Net Cash Flow from Investing Activities</t>
  </si>
  <si>
    <t>Financing Activities</t>
  </si>
  <si>
    <t>Issuance of stock</t>
  </si>
  <si>
    <t>Borrowing</t>
  </si>
  <si>
    <t>Repayment of loans</t>
  </si>
  <si>
    <t>Dividends</t>
  </si>
  <si>
    <t>Net Cash Flow from Financing Activities</t>
  </si>
  <si>
    <t>Net Increase in Cash</t>
  </si>
  <si>
    <t>Cash at End of Period</t>
  </si>
  <si>
    <t>{42}</t>
  </si>
  <si>
    <t>Inventories</t>
  </si>
  <si>
    <t>Beginning inventory</t>
  </si>
  <si>
    <t>Purchases</t>
  </si>
  <si>
    <t>Freight</t>
  </si>
  <si>
    <t>Direct labor</t>
  </si>
  <si>
    <t>Indirect expenses</t>
  </si>
  <si>
    <t>Inventories at Beginning of Period</t>
  </si>
  <si>
    <t>Inventories at End of Period</t>
  </si>
  <si>
    <t>Kosto e Mallrave te Shitura me Zbritje 50%</t>
  </si>
  <si>
    <t>Sherbime te Tjera</t>
  </si>
  <si>
    <t>VAT code</t>
  </si>
  <si>
    <t>In EUR</t>
  </si>
  <si>
    <t>In LEK</t>
  </si>
  <si>
    <t>VAT</t>
  </si>
  <si>
    <t>Other</t>
  </si>
  <si>
    <t>Sales</t>
  </si>
  <si>
    <t>VAT at Beginning of Period</t>
  </si>
  <si>
    <t>VAT at End of Period</t>
  </si>
  <si>
    <t>PERSHKRIMLLOG1</t>
  </si>
  <si>
    <t>LLOGARIPK</t>
  </si>
  <si>
    <t>PERSHKRIMPK</t>
  </si>
  <si>
    <t>M01</t>
  </si>
  <si>
    <t>M02</t>
  </si>
  <si>
    <t>M03</t>
  </si>
  <si>
    <t>M04</t>
  </si>
  <si>
    <t>M05</t>
  </si>
  <si>
    <t>M06</t>
  </si>
  <si>
    <t>M07</t>
  </si>
  <si>
    <t>M08</t>
  </si>
  <si>
    <t>M09</t>
  </si>
  <si>
    <t>M10</t>
  </si>
  <si>
    <t>M11</t>
  </si>
  <si>
    <t>M12</t>
  </si>
  <si>
    <t>Furnitore per mallra , produkte e sherbime</t>
  </si>
  <si>
    <t>Kliente per mallra , produkte e sherbime</t>
  </si>
  <si>
    <t>Paga e shperblime</t>
  </si>
  <si>
    <t>Sigurime shoqerore dhe shendetsore</t>
  </si>
  <si>
    <t>Sherbime bankare</t>
  </si>
  <si>
    <t>Pagat dhe shperblimet e personelit</t>
  </si>
  <si>
    <t>Sigurimet shoqerore dhe shendetesore</t>
  </si>
  <si>
    <t>Zbritje ne Shitje</t>
  </si>
  <si>
    <t>Te tjera</t>
  </si>
  <si>
    <t>Shpenzime per interesa</t>
  </si>
  <si>
    <t>Zbritje ne Blerje</t>
  </si>
  <si>
    <t>Pagese TVSH</t>
  </si>
  <si>
    <t>Mallra grupi I</t>
  </si>
  <si>
    <t>Ndrysh.gjend.mallra</t>
  </si>
  <si>
    <t>Blerje /shpenzime mallra, sherbimesh</t>
  </si>
  <si>
    <t>Shitje mallrash</t>
  </si>
  <si>
    <t>Nentrajtime</t>
  </si>
  <si>
    <t>(Financim) / Terheqje</t>
  </si>
  <si>
    <t>BKT ALL</t>
  </si>
  <si>
    <t>BKT EUR</t>
  </si>
  <si>
    <t>TVSH e zbriteshme</t>
  </si>
  <si>
    <t>Shteti-TVSH e zbritshme</t>
  </si>
  <si>
    <t>Vlera monetare ne LEKE</t>
  </si>
  <si>
    <t>Shpenzime Qiraje</t>
  </si>
  <si>
    <t>Utilitete</t>
  </si>
  <si>
    <t>Shpenzime Marketingu</t>
  </si>
  <si>
    <t>Shitje e AA</t>
  </si>
  <si>
    <t>Tatim mbi fitimin</t>
  </si>
  <si>
    <t>Xhirime te brendshme Banke-Banke</t>
  </si>
  <si>
    <t>Te ardhura nga interesat</t>
  </si>
  <si>
    <t>Tatimi ne burim</t>
  </si>
  <si>
    <t>10-15%</t>
  </si>
  <si>
    <t>BoP</t>
  </si>
  <si>
    <t>EoP</t>
  </si>
  <si>
    <t>Suppliers</t>
  </si>
  <si>
    <t>Debitore te tjere ,kreditore te tjere</t>
  </si>
  <si>
    <t>Zhvleresime te tjera per aktivet financiare</t>
  </si>
  <si>
    <t>Shpenzime te tjera</t>
  </si>
  <si>
    <t>Qira Objekti</t>
  </si>
  <si>
    <t>Diferenca kembimi valutore</t>
  </si>
  <si>
    <t>Te ardhura nga kembimet valutore</t>
  </si>
  <si>
    <t>Te ardhura nga qiraja</t>
  </si>
  <si>
    <t>Clients</t>
  </si>
  <si>
    <t>Tatim  mbi te ardhurat e personale</t>
  </si>
  <si>
    <t>Shteti-TVSH per tu paguar</t>
  </si>
  <si>
    <t>Shteti-TVSH e pagueshme</t>
  </si>
  <si>
    <t xml:space="preserve">Shpenzime te llogaritura </t>
  </si>
  <si>
    <t>Qira</t>
  </si>
  <si>
    <t>Shpenzim Telefoni-internet</t>
  </si>
  <si>
    <t>Fitim nga kembimet valutore</t>
  </si>
  <si>
    <t>Ortake</t>
  </si>
  <si>
    <t>Institucione te kreditimit</t>
  </si>
  <si>
    <t>Pagese TVSH vjetore</t>
  </si>
  <si>
    <t>Te ardhurat neto vjetore</t>
  </si>
  <si>
    <t>TVSH pagese marxh</t>
  </si>
  <si>
    <t>Te drejta dhe detyrime Besnik Picari</t>
  </si>
  <si>
    <t>KREDI BKT (42000 euro)</t>
  </si>
  <si>
    <t>KREDI BKT (22500 euro)</t>
  </si>
  <si>
    <t>BKT 509282418 EUR -llog kredie</t>
  </si>
  <si>
    <t>Shpenzime  per interesa</t>
  </si>
  <si>
    <t>nr.rn.</t>
  </si>
  <si>
    <t>subjekti</t>
  </si>
  <si>
    <t>nipt</t>
  </si>
  <si>
    <t>forma</t>
  </si>
  <si>
    <t>tatimi</t>
  </si>
  <si>
    <t>vendimi i asambese se ortakeve</t>
  </si>
  <si>
    <t>pf te skanuara</t>
  </si>
  <si>
    <t>depozitimi ne tatime</t>
  </si>
  <si>
    <t>depozitimi ne qkr</t>
  </si>
  <si>
    <t>e-albania individ</t>
  </si>
  <si>
    <t>pass</t>
  </si>
  <si>
    <t>e-albania biznes</t>
  </si>
  <si>
    <t>shenime</t>
  </si>
  <si>
    <t>tot</t>
  </si>
  <si>
    <t>rezerva ligjore</t>
  </si>
  <si>
    <t>rezerva statutore</t>
  </si>
  <si>
    <t>investime afatgjata</t>
  </si>
  <si>
    <t>divident</t>
  </si>
  <si>
    <t>kapitali themeltar</t>
  </si>
  <si>
    <t>rritje kapitali</t>
  </si>
  <si>
    <t>aam</t>
  </si>
  <si>
    <t>tatim</t>
  </si>
  <si>
    <t>shpk</t>
  </si>
  <si>
    <t>tatim fitimi</t>
  </si>
  <si>
    <t>OK</t>
  </si>
  <si>
    <t>Circle99</t>
  </si>
  <si>
    <t>VELLEZERIT PICARI</t>
  </si>
  <si>
    <t>K91804013E</t>
  </si>
  <si>
    <t>H60605168H</t>
  </si>
  <si>
    <t>Shpenzime te periudhave te ardhme</t>
  </si>
  <si>
    <t>RBAL ALL</t>
  </si>
  <si>
    <t>RBAL 30306222 ALL</t>
  </si>
  <si>
    <t>RBAL 40306222 EUR</t>
  </si>
  <si>
    <t>Xhirime te brendshme konvertime</t>
  </si>
  <si>
    <t>Blerje /shpenzime te tjera</t>
  </si>
  <si>
    <t>shpenzimet</t>
  </si>
  <si>
    <t>shp P&amp;L</t>
  </si>
  <si>
    <t>ndryshimi</t>
  </si>
  <si>
    <t>te ardhurat</t>
  </si>
  <si>
    <t>te ardh P&amp;L</t>
  </si>
  <si>
    <t>ortaku kalon me terhejqe ne llogari (divident)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</si>
</sst>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_);\(#,##0\);\-"/>
    <numFmt numFmtId="165" formatCode="_(* #,##0_);_(* \(#,##0\);_(* &quot;-&quot;??_);_(@_)"/>
    <numFmt numFmtId="166" formatCode="[$€-2]\ #,##0_);\([$€-2]\ #,##0\)"/>
    <numFmt numFmtId="167" formatCode="[$€-2]\ #,##0_);[Red]\([$€-2]\ #,##0\)"/>
  </numFmts>
  <fonts count="2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53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name val="Times New Roman"/>
      <family val="1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color theme="1"/>
      <name val="Arial"/>
      <family val="2"/>
    </font>
    <font>
      <sz val="8"/>
      <color theme="0" tint="-0.249977111117893"/>
      <name val="Arial"/>
      <family val="2"/>
    </font>
    <font>
      <b/>
      <sz val="8"/>
      <color indexed="8"/>
      <name val="Arial"/>
      <family val="2"/>
    </font>
    <font>
      <b/>
      <sz val="8"/>
      <color theme="0" tint="-0.249977111117893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sz val="8"/>
      <color rgb="FFFF0000"/>
      <name val="Arial"/>
      <family val="2"/>
    </font>
    <font>
      <sz val="8"/>
      <color theme="3" tint="0.39997558519241921"/>
      <name val="Arial"/>
      <family val="2"/>
    </font>
    <font>
      <b/>
      <sz val="8"/>
      <color theme="3" tint="0.3999755851924192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121">
    <xf numFmtId="0" fontId="0" fillId="0" borderId="0" xfId="0"/>
    <xf numFmtId="0" fontId="3" fillId="2" borderId="0" xfId="0" applyFont="1" applyFill="1" applyAlignment="1" applyProtection="1">
      <alignment vertical="center"/>
      <protection locked="0"/>
    </xf>
    <xf numFmtId="0" fontId="4" fillId="2" borderId="0" xfId="0" applyFont="1" applyFill="1"/>
    <xf numFmtId="0" fontId="5" fillId="2" borderId="0" xfId="0" applyFont="1" applyFill="1" applyAlignment="1">
      <alignment vertical="center"/>
    </xf>
    <xf numFmtId="0" fontId="4" fillId="2" borderId="0" xfId="0" applyFont="1" applyFill="1" applyAlignment="1"/>
    <xf numFmtId="0" fontId="4" fillId="2" borderId="0" xfId="0" applyFont="1" applyFill="1" applyAlignment="1" applyProtection="1">
      <alignment horizontal="right" indent="1"/>
      <protection locked="0"/>
    </xf>
    <xf numFmtId="14" fontId="4" fillId="2" borderId="0" xfId="0" applyNumberFormat="1" applyFont="1" applyFill="1" applyAlignment="1" applyProtection="1">
      <protection locked="0"/>
    </xf>
    <xf numFmtId="41" fontId="4" fillId="2" borderId="4" xfId="4" applyNumberFormat="1" applyFont="1" applyFill="1" applyBorder="1" applyAlignment="1" applyProtection="1">
      <protection locked="0"/>
    </xf>
    <xf numFmtId="0" fontId="6" fillId="5" borderId="0" xfId="0" applyFont="1" applyFill="1" applyAlignment="1">
      <alignment horizontal="left"/>
    </xf>
    <xf numFmtId="17" fontId="6" fillId="5" borderId="0" xfId="0" applyNumberFormat="1" applyFont="1" applyFill="1" applyAlignment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41" fontId="4" fillId="2" borderId="0" xfId="4" applyNumberFormat="1" applyFont="1" applyFill="1" applyBorder="1" applyAlignment="1"/>
    <xf numFmtId="0" fontId="4" fillId="2" borderId="0" xfId="0" applyFont="1" applyFill="1" applyAlignment="1" applyProtection="1">
      <protection locked="0"/>
    </xf>
    <xf numFmtId="0" fontId="4" fillId="6" borderId="0" xfId="0" applyFont="1" applyFill="1" applyAlignment="1">
      <alignment horizontal="left"/>
    </xf>
    <xf numFmtId="41" fontId="3" fillId="6" borderId="6" xfId="0" applyNumberFormat="1" applyFont="1" applyFill="1" applyBorder="1"/>
    <xf numFmtId="0" fontId="7" fillId="2" borderId="0" xfId="0" applyFont="1" applyFill="1" applyAlignment="1">
      <alignment horizontal="right"/>
    </xf>
    <xf numFmtId="0" fontId="6" fillId="5" borderId="0" xfId="0" applyFont="1" applyFill="1" applyAlignment="1"/>
    <xf numFmtId="0" fontId="4" fillId="2" borderId="0" xfId="0" applyFont="1" applyFill="1" applyProtection="1">
      <protection locked="0"/>
    </xf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41" fontId="3" fillId="6" borderId="7" xfId="0" applyNumberFormat="1" applyFont="1" applyFill="1" applyBorder="1"/>
    <xf numFmtId="0" fontId="7" fillId="2" borderId="0" xfId="0" applyFont="1" applyFill="1"/>
    <xf numFmtId="0" fontId="4" fillId="2" borderId="0" xfId="0" applyFont="1" applyFill="1" applyAlignment="1">
      <alignment horizontal="right"/>
    </xf>
    <xf numFmtId="0" fontId="10" fillId="7" borderId="0" xfId="0" applyFont="1" applyFill="1"/>
    <xf numFmtId="0" fontId="10" fillId="7" borderId="0" xfId="0" applyFont="1" applyFill="1" applyBorder="1"/>
    <xf numFmtId="3" fontId="4" fillId="2" borderId="4" xfId="4" applyNumberFormat="1" applyFont="1" applyFill="1" applyBorder="1" applyAlignment="1" applyProtection="1">
      <protection locked="0"/>
    </xf>
    <xf numFmtId="3" fontId="10" fillId="7" borderId="0" xfId="0" applyNumberFormat="1" applyFont="1" applyFill="1" applyBorder="1"/>
    <xf numFmtId="3" fontId="10" fillId="7" borderId="1" xfId="0" applyNumberFormat="1" applyFont="1" applyFill="1" applyBorder="1"/>
    <xf numFmtId="3" fontId="3" fillId="6" borderId="7" xfId="0" applyNumberFormat="1" applyFont="1" applyFill="1" applyBorder="1"/>
    <xf numFmtId="165" fontId="4" fillId="2" borderId="0" xfId="2" applyNumberFormat="1" applyFont="1" applyFill="1"/>
    <xf numFmtId="165" fontId="4" fillId="2" borderId="0" xfId="0" applyNumberFormat="1" applyFont="1" applyFill="1"/>
    <xf numFmtId="0" fontId="6" fillId="5" borderId="0" xfId="0" applyFont="1" applyFill="1" applyAlignment="1">
      <alignment horizontal="left"/>
    </xf>
    <xf numFmtId="0" fontId="4" fillId="6" borderId="0" xfId="0" applyFont="1" applyFill="1" applyBorder="1" applyAlignment="1" applyProtection="1">
      <alignment horizontal="left"/>
      <protection locked="0"/>
    </xf>
    <xf numFmtId="167" fontId="10" fillId="7" borderId="0" xfId="0" applyNumberFormat="1" applyFont="1" applyFill="1" applyBorder="1"/>
    <xf numFmtId="167" fontId="10" fillId="7" borderId="1" xfId="0" applyNumberFormat="1" applyFont="1" applyFill="1" applyBorder="1"/>
    <xf numFmtId="167" fontId="3" fillId="6" borderId="7" xfId="0" applyNumberFormat="1" applyFont="1" applyFill="1" applyBorder="1"/>
    <xf numFmtId="167" fontId="4" fillId="4" borderId="4" xfId="4" applyNumberFormat="1" applyFont="1" applyFill="1" applyBorder="1" applyAlignment="1" applyProtection="1">
      <protection locked="0"/>
    </xf>
    <xf numFmtId="167" fontId="4" fillId="2" borderId="4" xfId="4" applyNumberFormat="1" applyFont="1" applyFill="1" applyBorder="1" applyAlignment="1" applyProtection="1">
      <protection locked="0"/>
    </xf>
    <xf numFmtId="38" fontId="10" fillId="7" borderId="0" xfId="0" applyNumberFormat="1" applyFont="1" applyFill="1" applyBorder="1"/>
    <xf numFmtId="167" fontId="4" fillId="2" borderId="0" xfId="0" applyNumberFormat="1" applyFont="1" applyFill="1"/>
    <xf numFmtId="41" fontId="4" fillId="9" borderId="4" xfId="4" applyNumberFormat="1" applyFont="1" applyFill="1" applyBorder="1" applyAlignment="1" applyProtection="1">
      <protection locked="0"/>
    </xf>
    <xf numFmtId="3" fontId="10" fillId="9" borderId="0" xfId="0" applyNumberFormat="1" applyFont="1" applyFill="1" applyBorder="1"/>
    <xf numFmtId="3" fontId="4" fillId="9" borderId="4" xfId="4" applyNumberFormat="1" applyFont="1" applyFill="1" applyBorder="1" applyAlignment="1" applyProtection="1">
      <protection locked="0"/>
    </xf>
    <xf numFmtId="38" fontId="4" fillId="6" borderId="0" xfId="4" applyNumberFormat="1" applyFont="1" applyFill="1" applyBorder="1" applyAlignment="1"/>
    <xf numFmtId="38" fontId="4" fillId="2" borderId="0" xfId="0" applyNumberFormat="1" applyFont="1" applyFill="1"/>
    <xf numFmtId="3" fontId="10" fillId="8" borderId="0" xfId="0" applyNumberFormat="1" applyFont="1" applyFill="1" applyBorder="1"/>
    <xf numFmtId="3" fontId="11" fillId="10" borderId="0" xfId="2" applyNumberFormat="1" applyFont="1" applyFill="1"/>
    <xf numFmtId="3" fontId="4" fillId="2" borderId="0" xfId="0" applyNumberFormat="1" applyFont="1" applyFill="1"/>
    <xf numFmtId="3" fontId="4" fillId="2" borderId="0" xfId="2" applyNumberFormat="1" applyFont="1" applyFill="1"/>
    <xf numFmtId="3" fontId="11" fillId="10" borderId="0" xfId="0" applyNumberFormat="1" applyFont="1" applyFill="1"/>
    <xf numFmtId="38" fontId="10" fillId="8" borderId="0" xfId="0" applyNumberFormat="1" applyFont="1" applyFill="1" applyBorder="1"/>
    <xf numFmtId="0" fontId="12" fillId="0" borderId="0" xfId="0" applyFont="1" applyFill="1"/>
    <xf numFmtId="0" fontId="12" fillId="0" borderId="0" xfId="0" applyFont="1"/>
    <xf numFmtId="3" fontId="12" fillId="0" borderId="0" xfId="0" applyNumberFormat="1" applyFont="1"/>
    <xf numFmtId="3" fontId="12" fillId="0" borderId="0" xfId="0" applyNumberFormat="1" applyFont="1" applyFill="1"/>
    <xf numFmtId="9" fontId="4" fillId="2" borderId="0" xfId="3" applyFont="1" applyFill="1"/>
    <xf numFmtId="0" fontId="12" fillId="8" borderId="0" xfId="0" applyFont="1" applyFill="1"/>
    <xf numFmtId="3" fontId="12" fillId="8" borderId="0" xfId="0" applyNumberFormat="1" applyFont="1" applyFill="1"/>
    <xf numFmtId="0" fontId="13" fillId="0" borderId="0" xfId="0" applyFont="1"/>
    <xf numFmtId="0" fontId="13" fillId="0" borderId="0" xfId="0" applyFont="1" applyFill="1"/>
    <xf numFmtId="9" fontId="12" fillId="0" borderId="0" xfId="0" applyNumberFormat="1" applyFont="1"/>
    <xf numFmtId="0" fontId="12" fillId="0" borderId="0" xfId="0" applyFont="1" applyAlignment="1">
      <alignment wrapText="1"/>
    </xf>
    <xf numFmtId="0" fontId="12" fillId="10" borderId="0" xfId="0" applyFont="1" applyFill="1"/>
    <xf numFmtId="0" fontId="12" fillId="9" borderId="0" xfId="0" applyFont="1" applyFill="1"/>
    <xf numFmtId="3" fontId="13" fillId="0" borderId="0" xfId="0" applyNumberFormat="1" applyFont="1" applyFill="1"/>
    <xf numFmtId="3" fontId="12" fillId="10" borderId="0" xfId="0" applyNumberFormat="1" applyFont="1" applyFill="1"/>
    <xf numFmtId="3" fontId="14" fillId="10" borderId="0" xfId="0" applyNumberFormat="1" applyFont="1" applyFill="1"/>
    <xf numFmtId="0" fontId="4" fillId="6" borderId="0" xfId="0" applyFont="1" applyFill="1" applyAlignment="1" applyProtection="1">
      <alignment horizontal="left"/>
      <protection locked="0"/>
    </xf>
    <xf numFmtId="0" fontId="4" fillId="6" borderId="0" xfId="0" applyFont="1" applyFill="1" applyBorder="1" applyAlignment="1" applyProtection="1">
      <alignment horizontal="left"/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6" fillId="5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2" borderId="0" xfId="0" applyFont="1" applyFill="1" applyBorder="1" applyAlignment="1" applyProtection="1">
      <alignment horizontal="left"/>
      <protection locked="0"/>
    </xf>
    <xf numFmtId="0" fontId="4" fillId="6" borderId="0" xfId="0" applyFont="1" applyFill="1" applyAlignment="1">
      <alignment horizontal="left"/>
    </xf>
    <xf numFmtId="0" fontId="11" fillId="6" borderId="0" xfId="0" applyFont="1" applyFill="1" applyBorder="1" applyAlignment="1" applyProtection="1">
      <alignment horizontal="right"/>
      <protection locked="0"/>
    </xf>
    <xf numFmtId="0" fontId="4" fillId="2" borderId="0" xfId="0" applyFont="1" applyFill="1" applyAlignment="1">
      <alignment horizontal="left"/>
    </xf>
    <xf numFmtId="0" fontId="15" fillId="2" borderId="0" xfId="0" applyFont="1" applyFill="1"/>
    <xf numFmtId="3" fontId="16" fillId="2" borderId="0" xfId="0" applyNumberFormat="1" applyFont="1" applyFill="1"/>
    <xf numFmtId="0" fontId="17" fillId="2" borderId="0" xfId="0" applyFont="1" applyFill="1"/>
    <xf numFmtId="0" fontId="18" fillId="2" borderId="0" xfId="0" applyFont="1" applyFill="1"/>
    <xf numFmtId="0" fontId="19" fillId="2" borderId="0" xfId="0" applyFont="1" applyFill="1" applyBorder="1"/>
    <xf numFmtId="1" fontId="19" fillId="2" borderId="1" xfId="0" applyNumberFormat="1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Font="1" applyFill="1"/>
    <xf numFmtId="0" fontId="19" fillId="2" borderId="2" xfId="0" applyFont="1" applyFill="1" applyBorder="1"/>
    <xf numFmtId="17" fontId="19" fillId="2" borderId="2" xfId="0" applyNumberFormat="1" applyFont="1" applyFill="1" applyBorder="1" applyAlignment="1">
      <alignment horizontal="center"/>
    </xf>
    <xf numFmtId="0" fontId="19" fillId="2" borderId="2" xfId="0" applyFont="1" applyFill="1" applyBorder="1" applyAlignment="1">
      <alignment horizontal="center"/>
    </xf>
    <xf numFmtId="1" fontId="15" fillId="2" borderId="0" xfId="0" applyNumberFormat="1" applyFont="1" applyFill="1"/>
    <xf numFmtId="164" fontId="15" fillId="9" borderId="0" xfId="0" applyNumberFormat="1" applyFont="1" applyFill="1"/>
    <xf numFmtId="164" fontId="15" fillId="8" borderId="0" xfId="0" applyNumberFormat="1" applyFont="1" applyFill="1"/>
    <xf numFmtId="164" fontId="17" fillId="2" borderId="0" xfId="0" applyNumberFormat="1" applyFont="1" applyFill="1"/>
    <xf numFmtId="0" fontId="21" fillId="2" borderId="0" xfId="0" applyFont="1" applyFill="1"/>
    <xf numFmtId="164" fontId="21" fillId="9" borderId="0" xfId="0" applyNumberFormat="1" applyFont="1" applyFill="1"/>
    <xf numFmtId="164" fontId="16" fillId="8" borderId="0" xfId="0" applyNumberFormat="1" applyFont="1" applyFill="1"/>
    <xf numFmtId="164" fontId="21" fillId="8" borderId="0" xfId="0" applyNumberFormat="1" applyFont="1" applyFill="1"/>
    <xf numFmtId="0" fontId="15" fillId="2" borderId="1" xfId="0" applyFont="1" applyFill="1" applyBorder="1"/>
    <xf numFmtId="164" fontId="15" fillId="2" borderId="1" xfId="0" applyNumberFormat="1" applyFont="1" applyFill="1" applyBorder="1"/>
    <xf numFmtId="164" fontId="19" fillId="2" borderId="1" xfId="0" applyNumberFormat="1" applyFont="1" applyFill="1" applyBorder="1"/>
    <xf numFmtId="164" fontId="19" fillId="2" borderId="0" xfId="0" applyNumberFormat="1" applyFont="1" applyFill="1"/>
    <xf numFmtId="166" fontId="19" fillId="2" borderId="0" xfId="0" applyNumberFormat="1" applyFont="1" applyFill="1"/>
    <xf numFmtId="164" fontId="15" fillId="2" borderId="0" xfId="0" applyNumberFormat="1" applyFont="1" applyFill="1"/>
    <xf numFmtId="164" fontId="22" fillId="2" borderId="0" xfId="0" applyNumberFormat="1" applyFont="1" applyFill="1"/>
    <xf numFmtId="9" fontId="15" fillId="2" borderId="0" xfId="3" applyFont="1" applyFill="1"/>
    <xf numFmtId="9" fontId="15" fillId="2" borderId="0" xfId="0" applyNumberFormat="1" applyFont="1" applyFill="1"/>
    <xf numFmtId="164" fontId="21" fillId="2" borderId="0" xfId="0" applyNumberFormat="1" applyFont="1" applyFill="1"/>
    <xf numFmtId="164" fontId="16" fillId="9" borderId="0" xfId="0" applyNumberFormat="1" applyFont="1" applyFill="1"/>
    <xf numFmtId="164" fontId="23" fillId="2" borderId="0" xfId="0" applyNumberFormat="1" applyFont="1" applyFill="1"/>
    <xf numFmtId="43" fontId="15" fillId="2" borderId="0" xfId="2" applyFont="1" applyFill="1"/>
    <xf numFmtId="0" fontId="23" fillId="2" borderId="0" xfId="0" applyFont="1" applyFill="1"/>
    <xf numFmtId="0" fontId="22" fillId="2" borderId="0" xfId="0" applyFont="1" applyFill="1"/>
    <xf numFmtId="0" fontId="19" fillId="2" borderId="3" xfId="0" applyFont="1" applyFill="1" applyBorder="1"/>
    <xf numFmtId="164" fontId="19" fillId="2" borderId="3" xfId="0" applyNumberFormat="1" applyFont="1" applyFill="1" applyBorder="1"/>
    <xf numFmtId="0" fontId="24" fillId="3" borderId="0" xfId="0" applyFont="1" applyFill="1"/>
    <xf numFmtId="164" fontId="24" fillId="3" borderId="0" xfId="0" applyNumberFormat="1" applyFont="1" applyFill="1"/>
    <xf numFmtId="9" fontId="24" fillId="3" borderId="0" xfId="3" applyFont="1" applyFill="1"/>
    <xf numFmtId="0" fontId="16" fillId="2" borderId="0" xfId="0" applyFont="1" applyFill="1"/>
    <xf numFmtId="165" fontId="25" fillId="2" borderId="0" xfId="2" applyNumberFormat="1" applyFont="1" applyFill="1"/>
    <xf numFmtId="0" fontId="26" fillId="2" borderId="0" xfId="0" applyFont="1" applyFill="1"/>
    <xf numFmtId="165" fontId="27" fillId="2" borderId="0" xfId="2" applyNumberFormat="1" applyFont="1" applyFill="1"/>
    <xf numFmtId="0" fontId="25" fillId="2" borderId="0" xfId="0" applyFont="1" applyFill="1"/>
  </cellXfs>
  <cellStyles count="5">
    <cellStyle name="Comma" xfId="2" builtinId="3"/>
    <cellStyle name="Currency" xfId="4" builtinId="4"/>
    <cellStyle name="Normal" xfId="0" builtinId="0"/>
    <cellStyle name="Normal 9" xfId="1" xr:uid="{00000000-0005-0000-0000-000003000000}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249977111117893"/>
  </sheetPr>
  <dimension ref="A1:W63"/>
  <sheetViews>
    <sheetView tabSelected="1" zoomScaleNormal="100" workbookViewId="0">
      <selection activeCell="V6" sqref="V6"/>
    </sheetView>
  </sheetViews>
  <sheetFormatPr defaultRowHeight="11.25" x14ac:dyDescent="0.2"/>
  <cols>
    <col min="1" max="3" width="1.7109375" style="77" customWidth="1"/>
    <col min="4" max="6" width="9.140625" style="77"/>
    <col min="7" max="7" width="1.7109375" style="77" customWidth="1"/>
    <col min="8" max="19" width="10.7109375" style="77" customWidth="1"/>
    <col min="20" max="20" width="10.7109375" style="79" customWidth="1"/>
    <col min="21" max="21" width="1.7109375" style="77" customWidth="1"/>
    <col min="22" max="22" width="8.5703125" style="80" bestFit="1" customWidth="1"/>
    <col min="23" max="23" width="1.7109375" style="77" customWidth="1"/>
    <col min="24" max="16384" width="9.140625" style="77"/>
  </cols>
  <sheetData>
    <row r="1" spans="1:22" x14ac:dyDescent="0.2">
      <c r="Q1" s="78"/>
      <c r="R1" s="78"/>
      <c r="S1" s="78"/>
    </row>
    <row r="2" spans="1:22" s="83" customFormat="1" x14ac:dyDescent="0.2">
      <c r="A2" s="81"/>
      <c r="B2" s="81" t="s">
        <v>0</v>
      </c>
      <c r="C2" s="81"/>
      <c r="D2" s="81"/>
      <c r="E2" s="81"/>
      <c r="F2" s="81"/>
      <c r="G2" s="81"/>
      <c r="H2" s="82">
        <v>2017</v>
      </c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V2" s="84" t="s">
        <v>87</v>
      </c>
    </row>
    <row r="3" spans="1:22" s="83" customFormat="1" ht="12" thickBot="1" x14ac:dyDescent="0.25">
      <c r="A3" s="85"/>
      <c r="B3" s="85"/>
      <c r="C3" s="85"/>
      <c r="D3" s="85"/>
      <c r="E3" s="85"/>
      <c r="F3" s="85"/>
      <c r="G3" s="85"/>
      <c r="H3" s="86" t="s">
        <v>1</v>
      </c>
      <c r="I3" s="86" t="s">
        <v>2</v>
      </c>
      <c r="J3" s="86" t="s">
        <v>3</v>
      </c>
      <c r="K3" s="86" t="s">
        <v>4</v>
      </c>
      <c r="L3" s="86" t="s">
        <v>5</v>
      </c>
      <c r="M3" s="86" t="s">
        <v>6</v>
      </c>
      <c r="N3" s="87" t="s">
        <v>7</v>
      </c>
      <c r="O3" s="87" t="s">
        <v>8</v>
      </c>
      <c r="P3" s="87" t="s">
        <v>9</v>
      </c>
      <c r="Q3" s="87" t="s">
        <v>10</v>
      </c>
      <c r="R3" s="87" t="s">
        <v>11</v>
      </c>
      <c r="S3" s="87" t="s">
        <v>12</v>
      </c>
      <c r="T3" s="87" t="s">
        <v>13</v>
      </c>
      <c r="V3" s="84"/>
    </row>
    <row r="4" spans="1:22" x14ac:dyDescent="0.2">
      <c r="H4" s="88"/>
      <c r="I4" s="88"/>
      <c r="J4" s="88"/>
      <c r="K4" s="88"/>
      <c r="L4" s="88"/>
      <c r="M4" s="88"/>
      <c r="N4" s="88"/>
      <c r="O4" s="88"/>
      <c r="P4" s="88"/>
      <c r="Q4" s="88"/>
    </row>
    <row r="5" spans="1:22" x14ac:dyDescent="0.2">
      <c r="B5" s="79" t="s">
        <v>14</v>
      </c>
    </row>
    <row r="6" spans="1:22" x14ac:dyDescent="0.2">
      <c r="C6" s="77" t="s">
        <v>136</v>
      </c>
      <c r="H6" s="89"/>
      <c r="I6" s="89"/>
      <c r="J6" s="89"/>
      <c r="K6" s="89"/>
      <c r="L6" s="89"/>
      <c r="M6" s="89"/>
      <c r="N6" s="89"/>
      <c r="O6" s="89"/>
      <c r="P6" s="89"/>
      <c r="Q6" s="90"/>
      <c r="R6" s="90"/>
      <c r="S6" s="90"/>
      <c r="T6" s="91">
        <f>SUM(H6:S6)</f>
        <v>0</v>
      </c>
    </row>
    <row r="7" spans="1:22" x14ac:dyDescent="0.2">
      <c r="C7" s="77" t="s">
        <v>15</v>
      </c>
      <c r="H7" s="89"/>
      <c r="I7" s="89"/>
      <c r="J7" s="89"/>
      <c r="K7" s="89"/>
      <c r="L7" s="89"/>
      <c r="M7" s="89"/>
      <c r="N7" s="89"/>
      <c r="O7" s="89"/>
      <c r="P7" s="89"/>
      <c r="Q7" s="90"/>
      <c r="R7" s="90"/>
      <c r="S7" s="90"/>
      <c r="T7" s="91">
        <f t="shared" ref="T7:T13" si="0">SUM(H7:S7)</f>
        <v>0</v>
      </c>
    </row>
    <row r="8" spans="1:22" s="92" customFormat="1" x14ac:dyDescent="0.2">
      <c r="C8" s="92" t="s">
        <v>16</v>
      </c>
      <c r="H8" s="89">
        <f>-SUMIFS(lv!D:D,lv!$B:$B,"705")</f>
        <v>1724242.52</v>
      </c>
      <c r="I8" s="89">
        <f>-SUMIFS(lv!E:E,lv!$B:$B,"705")</f>
        <v>1329283.32</v>
      </c>
      <c r="J8" s="89">
        <f>-SUMIFS(lv!F:F,lv!$B:$B,"705")</f>
        <v>2618874.9900000002</v>
      </c>
      <c r="K8" s="89">
        <f>-SUMIFS(lv!G:G,lv!$B:$B,"705")</f>
        <v>1086029.98</v>
      </c>
      <c r="L8" s="89">
        <f>-SUMIFS(lv!H:H,lv!$B:$B,"705")</f>
        <v>3170796.7</v>
      </c>
      <c r="M8" s="89">
        <f>-SUMIFS(lv!I:I,lv!$B:$B,"705")</f>
        <v>2749163.3</v>
      </c>
      <c r="N8" s="89">
        <f>-SUMIFS(lv!J:J,lv!$B:$B,"705")</f>
        <v>2673691.69</v>
      </c>
      <c r="O8" s="89">
        <f>-SUMIFS(lv!K:K,lv!$B:$B,"705")</f>
        <v>2765304.97</v>
      </c>
      <c r="P8" s="89">
        <f>-SUMIFS(lv!L:L,lv!$B:$B,"705")</f>
        <v>2286983.2799999998</v>
      </c>
      <c r="Q8" s="90">
        <v>2500000</v>
      </c>
      <c r="R8" s="90">
        <v>2500000</v>
      </c>
      <c r="S8" s="90">
        <v>2500000</v>
      </c>
      <c r="T8" s="91">
        <f t="shared" si="0"/>
        <v>27904370.750000004</v>
      </c>
      <c r="V8" s="80">
        <v>2</v>
      </c>
    </row>
    <row r="9" spans="1:22" x14ac:dyDescent="0.2">
      <c r="C9" s="77" t="s">
        <v>44</v>
      </c>
      <c r="H9" s="93"/>
      <c r="I9" s="93"/>
      <c r="J9" s="93"/>
      <c r="K9" s="93"/>
      <c r="L9" s="93"/>
      <c r="M9" s="93"/>
      <c r="N9" s="93"/>
      <c r="O9" s="93"/>
      <c r="P9" s="93"/>
      <c r="Q9" s="95"/>
      <c r="R9" s="94"/>
      <c r="S9" s="95"/>
      <c r="T9" s="91">
        <f t="shared" si="0"/>
        <v>0</v>
      </c>
      <c r="V9" s="80">
        <v>2</v>
      </c>
    </row>
    <row r="10" spans="1:22" x14ac:dyDescent="0.2">
      <c r="C10" s="77" t="s">
        <v>151</v>
      </c>
      <c r="H10" s="93">
        <f>-SUMIFS(lv!D:D,lv!$B:$B,"7080001")</f>
        <v>247427</v>
      </c>
      <c r="I10" s="93">
        <f>-SUMIFS(lv!E:E,lv!$B:$B,"7080001")</f>
        <v>244350</v>
      </c>
      <c r="J10" s="93">
        <f>-SUMIFS(lv!F:F,lv!$B:$B,"7080001")</f>
        <v>246160</v>
      </c>
      <c r="K10" s="93">
        <f>-SUMIFS(lv!G:G,lv!$B:$B,"7080001")</f>
        <v>244350</v>
      </c>
      <c r="L10" s="93">
        <f>-SUMIFS(lv!H:H,lv!$B:$B,"7080001")-SUMIFS(lv!H:H,lv!$B:$B,"613")</f>
        <v>244350</v>
      </c>
      <c r="M10" s="93">
        <f>-SUMIFS(lv!I:I,lv!$B:$B,"7080001")-SUMIFS(lv!I:I,lv!$B:$B,"613")</f>
        <v>240730</v>
      </c>
      <c r="N10" s="93">
        <f>-SUMIFS(lv!J:J,lv!$B:$B,"7080001")-SUMIFS(lv!J:J,lv!$B:$B,"613")</f>
        <v>240730</v>
      </c>
      <c r="O10" s="93">
        <f>-SUMIFS(lv!K:K,lv!$B:$B,"7080001")-SUMIFS(lv!K:K,lv!$B:$B,"613")</f>
        <v>240730</v>
      </c>
      <c r="P10" s="93">
        <f>-SUMIFS(lv!L:L,lv!$B:$B,"7080001")-SUMIFS(lv!L:L,lv!$B:$B,"613")</f>
        <v>241454</v>
      </c>
      <c r="Q10" s="95">
        <v>250000</v>
      </c>
      <c r="R10" s="95">
        <v>250000</v>
      </c>
      <c r="S10" s="95">
        <v>250000</v>
      </c>
      <c r="T10" s="91">
        <f t="shared" si="0"/>
        <v>2940281</v>
      </c>
    </row>
    <row r="11" spans="1:22" x14ac:dyDescent="0.2">
      <c r="C11" s="77" t="s">
        <v>118</v>
      </c>
      <c r="H11" s="93">
        <f>-SUMIFS(lv!D:D,lv!$B:$B,"758")</f>
        <v>0</v>
      </c>
      <c r="I11" s="93">
        <f>-SUMIFS(lv!E:E,lv!$B:$B,"758")</f>
        <v>0</v>
      </c>
      <c r="J11" s="93">
        <f>-SUMIFS(lv!F:F,lv!$B:$B,"758")</f>
        <v>0</v>
      </c>
      <c r="K11" s="93">
        <f>-SUMIFS(lv!G:G,lv!$B:$B,"758")</f>
        <v>0</v>
      </c>
      <c r="L11" s="93">
        <f>-SUMIFS(lv!H:H,lv!$B:$B,"758")</f>
        <v>0</v>
      </c>
      <c r="M11" s="93">
        <f>-SUMIFS(lv!I:I,lv!$B:$B,"758")</f>
        <v>0</v>
      </c>
      <c r="N11" s="93">
        <f>-SUMIFS(lv!J:J,lv!$B:$B,"758")</f>
        <v>0</v>
      </c>
      <c r="O11" s="93">
        <f>-SUMIFS(lv!K:K,lv!$B:$B,"758")</f>
        <v>0</v>
      </c>
      <c r="P11" s="93">
        <f>-SUMIFS(lv!L:L,lv!$B:$B,"758")</f>
        <v>0</v>
      </c>
      <c r="Q11" s="95">
        <f>-SUMIFS(lv!M:M,lv!$B:$B,"758")</f>
        <v>0</v>
      </c>
      <c r="R11" s="95">
        <f>-SUMIFS(lv!N:N,lv!$B:$B,"758")</f>
        <v>0</v>
      </c>
      <c r="S11" s="95">
        <f>-SUMIFS(lv!O:O,lv!$B:$B,"758")</f>
        <v>0</v>
      </c>
      <c r="T11" s="91">
        <f t="shared" si="0"/>
        <v>0</v>
      </c>
    </row>
    <row r="12" spans="1:22" x14ac:dyDescent="0.2">
      <c r="C12" s="77" t="s">
        <v>139</v>
      </c>
      <c r="H12" s="93">
        <f>-SUMIFS(lv!D:D,lv!$B:$B,"767")</f>
        <v>0</v>
      </c>
      <c r="I12" s="93">
        <f>-SUMIFS(lv!E:E,lv!$B:$B,"767")</f>
        <v>0</v>
      </c>
      <c r="J12" s="93">
        <f>-SUMIFS(lv!F:F,lv!$B:$B,"767")</f>
        <v>0</v>
      </c>
      <c r="K12" s="93">
        <f>-SUMIFS(lv!G:G,lv!$B:$B,"767")</f>
        <v>0</v>
      </c>
      <c r="L12" s="93">
        <f>-SUMIFS(lv!H:H,lv!$B:$B,"767")</f>
        <v>0</v>
      </c>
      <c r="M12" s="93">
        <f>-SUMIFS(lv!I:I,lv!$B:$B,"767")</f>
        <v>0</v>
      </c>
      <c r="N12" s="93">
        <f>-SUMIFS(lv!J:J,lv!$B:$B,"767")</f>
        <v>0</v>
      </c>
      <c r="O12" s="93">
        <f>-SUMIFS(lv!K:K,lv!$B:$B,"767")</f>
        <v>0</v>
      </c>
      <c r="P12" s="93">
        <f>-SUMIFS(lv!L:L,lv!$B:$B,"767")</f>
        <v>0</v>
      </c>
      <c r="Q12" s="95">
        <f>-SUMIFS(lv!M:M,lv!$B:$B,"767")</f>
        <v>0</v>
      </c>
      <c r="R12" s="95">
        <f>-SUMIFS(lv!N:N,lv!$B:$B,"767")</f>
        <v>0</v>
      </c>
      <c r="S12" s="95">
        <f>-SUMIFS(lv!O:O,lv!$B:$B,"767")</f>
        <v>0</v>
      </c>
      <c r="T12" s="91">
        <f t="shared" si="0"/>
        <v>0</v>
      </c>
    </row>
    <row r="13" spans="1:22" x14ac:dyDescent="0.2">
      <c r="C13" s="77" t="s">
        <v>150</v>
      </c>
      <c r="H13" s="93">
        <f>-SUMIFS(lv!D:D,lv!$B:$B,"769")</f>
        <v>0.22</v>
      </c>
      <c r="I13" s="93">
        <f>-SUMIFS(lv!E:E,lv!$B:$B,"769")</f>
        <v>0</v>
      </c>
      <c r="J13" s="93">
        <f>-SUMIFS(lv!F:F,lv!$B:$B,"769")</f>
        <v>10613.34</v>
      </c>
      <c r="K13" s="93">
        <f>-SUMIFS(lv!G:G,lv!$B:$B,"769")</f>
        <v>1008</v>
      </c>
      <c r="L13" s="93">
        <f>-SUMIFS(lv!H:H,lv!$B:$B,"769")</f>
        <v>20650</v>
      </c>
      <c r="M13" s="93">
        <f>-SUMIFS(lv!I:I,lv!$B:$B,"769")</f>
        <v>22468.2</v>
      </c>
      <c r="N13" s="93">
        <f>-SUMIFS(lv!J:J,lv!$B:$B,"769")</f>
        <v>0.32</v>
      </c>
      <c r="O13" s="93">
        <f>-SUMIFS(lv!K:K,lv!$B:$B,"769")</f>
        <v>0</v>
      </c>
      <c r="P13" s="93">
        <f>-SUMIFS(lv!L:L,lv!$B:$B,"769")</f>
        <v>0</v>
      </c>
      <c r="Q13" s="95">
        <f>-SUMIFS(lv!M:M,lv!$B:$B,"769")</f>
        <v>0</v>
      </c>
      <c r="R13" s="95">
        <f>-SUMIFS(lv!N:N,lv!$B:$B,"769")</f>
        <v>0</v>
      </c>
      <c r="S13" s="95">
        <f>-SUMIFS(lv!O:O,lv!$B:$B,"769")</f>
        <v>0</v>
      </c>
      <c r="T13" s="91">
        <f t="shared" si="0"/>
        <v>54740.079999999994</v>
      </c>
    </row>
    <row r="14" spans="1:22" x14ac:dyDescent="0.2">
      <c r="C14" s="77" t="s">
        <v>120</v>
      </c>
      <c r="H14" s="93">
        <f>-SUMIFS(lv!D:D,lv!$B:$B,"791")</f>
        <v>0</v>
      </c>
      <c r="I14" s="93">
        <f>-SUMIFS(lv!E:E,lv!$B:$B,"791")</f>
        <v>0</v>
      </c>
      <c r="J14" s="93">
        <f>-SUMIFS(lv!F:F,lv!$B:$B,"791")</f>
        <v>0</v>
      </c>
      <c r="K14" s="93">
        <f>-SUMIFS(lv!G:G,lv!$B:$B,"791")</f>
        <v>0</v>
      </c>
      <c r="L14" s="93">
        <f>-SUMIFS(lv!H:H,lv!$B:$B,"791")</f>
        <v>0</v>
      </c>
      <c r="M14" s="93">
        <f>-SUMIFS(lv!I:I,lv!$B:$B,"791")</f>
        <v>0</v>
      </c>
      <c r="N14" s="93">
        <f>-SUMIFS(lv!J:J,lv!$B:$B,"791")</f>
        <v>0</v>
      </c>
      <c r="O14" s="93">
        <f>-SUMIFS(lv!K:K,lv!$B:$B,"791")</f>
        <v>0</v>
      </c>
      <c r="P14" s="93">
        <f>-SUMIFS(lv!L:L,lv!$B:$B,"791")</f>
        <v>0</v>
      </c>
      <c r="Q14" s="95">
        <f>-SUMIFS(lv!M:M,lv!$B:$B,"791")</f>
        <v>0</v>
      </c>
      <c r="R14" s="95">
        <f>-SUMIFS(lv!N:N,lv!$B:$B,"791")</f>
        <v>0</v>
      </c>
      <c r="S14" s="95">
        <f>-SUMIFS(lv!O:O,lv!$B:$B,"791")</f>
        <v>0</v>
      </c>
      <c r="T14" s="91">
        <f t="shared" ref="T14:T15" si="1">SUM(H14:S14)</f>
        <v>0</v>
      </c>
    </row>
    <row r="15" spans="1:22" x14ac:dyDescent="0.2">
      <c r="C15" s="77" t="s">
        <v>117</v>
      </c>
      <c r="H15" s="93">
        <f>-SUMIFS(lv!D:D,lv!$B:$B,"792")</f>
        <v>0</v>
      </c>
      <c r="I15" s="93">
        <f>-SUMIFS(lv!E:E,lv!$B:$B,"792")</f>
        <v>0</v>
      </c>
      <c r="J15" s="93">
        <f>-SUMIFS(lv!F:F,lv!$B:$B,"792")</f>
        <v>0</v>
      </c>
      <c r="K15" s="93">
        <f>-SUMIFS(lv!G:G,lv!$B:$B,"792")</f>
        <v>0</v>
      </c>
      <c r="L15" s="93">
        <f>-SUMIFS(lv!H:H,lv!$B:$B,"792")</f>
        <v>0</v>
      </c>
      <c r="M15" s="93">
        <f>-SUMIFS(lv!I:I,lv!$B:$B,"792")</f>
        <v>0</v>
      </c>
      <c r="N15" s="93">
        <f>-SUMIFS(lv!J:J,lv!$B:$B,"792")</f>
        <v>0</v>
      </c>
      <c r="O15" s="93">
        <f>-SUMIFS(lv!K:K,lv!$B:$B,"792")</f>
        <v>0</v>
      </c>
      <c r="P15" s="93">
        <f>-SUMIFS(lv!L:L,lv!$B:$B,"792")</f>
        <v>0</v>
      </c>
      <c r="Q15" s="95">
        <f>-SUMIFS(lv!M:M,lv!$B:$B,"792")</f>
        <v>0</v>
      </c>
      <c r="R15" s="95">
        <f>-SUMIFS(lv!N:N,lv!$B:$B,"792")</f>
        <v>0</v>
      </c>
      <c r="S15" s="95">
        <f>-SUMIFS(lv!O:O,lv!$B:$B,"792")</f>
        <v>0</v>
      </c>
      <c r="T15" s="91">
        <f t="shared" si="1"/>
        <v>0</v>
      </c>
    </row>
    <row r="16" spans="1:22" x14ac:dyDescent="0.2">
      <c r="B16" s="96"/>
      <c r="C16" s="96"/>
      <c r="D16" s="96"/>
      <c r="E16" s="96"/>
      <c r="F16" s="96"/>
      <c r="G16" s="96"/>
      <c r="H16" s="97"/>
      <c r="I16" s="97"/>
      <c r="J16" s="97"/>
      <c r="K16" s="97"/>
      <c r="L16" s="97"/>
      <c r="M16" s="97"/>
      <c r="N16" s="97"/>
      <c r="O16" s="97"/>
      <c r="P16" s="97"/>
      <c r="Q16" s="97"/>
      <c r="R16" s="97"/>
      <c r="S16" s="97"/>
      <c r="T16" s="98">
        <f>+SUM(H16:S16)</f>
        <v>0</v>
      </c>
    </row>
    <row r="17" spans="1:23" s="83" customFormat="1" x14ac:dyDescent="0.2">
      <c r="B17" s="83" t="s">
        <v>17</v>
      </c>
      <c r="H17" s="99">
        <f>SUM(H6:H16)</f>
        <v>1971669.74</v>
      </c>
      <c r="I17" s="99">
        <f t="shared" ref="I17:S17" si="2">SUM(I6:I16)</f>
        <v>1573633.32</v>
      </c>
      <c r="J17" s="99">
        <f t="shared" si="2"/>
        <v>2875648.33</v>
      </c>
      <c r="K17" s="99">
        <f t="shared" si="2"/>
        <v>1331387.98</v>
      </c>
      <c r="L17" s="99">
        <f t="shared" si="2"/>
        <v>3435796.7</v>
      </c>
      <c r="M17" s="99">
        <f t="shared" si="2"/>
        <v>3012361.5</v>
      </c>
      <c r="N17" s="99">
        <f t="shared" si="2"/>
        <v>2914422.01</v>
      </c>
      <c r="O17" s="99">
        <f t="shared" si="2"/>
        <v>3006034.97</v>
      </c>
      <c r="P17" s="99">
        <f t="shared" si="2"/>
        <v>2528437.2799999998</v>
      </c>
      <c r="Q17" s="99">
        <f t="shared" si="2"/>
        <v>2750000</v>
      </c>
      <c r="R17" s="99">
        <f t="shared" si="2"/>
        <v>2750000</v>
      </c>
      <c r="S17" s="99">
        <f t="shared" si="2"/>
        <v>2750000</v>
      </c>
      <c r="T17" s="99">
        <f>SUM(T6:T16)</f>
        <v>30899391.830000002</v>
      </c>
      <c r="U17" s="100"/>
      <c r="V17" s="84"/>
    </row>
    <row r="18" spans="1:23" x14ac:dyDescent="0.2">
      <c r="T18" s="83"/>
    </row>
    <row r="19" spans="1:23" x14ac:dyDescent="0.2">
      <c r="A19" s="101"/>
      <c r="C19" s="102" t="s">
        <v>18</v>
      </c>
      <c r="D19" s="101"/>
      <c r="E19" s="101"/>
      <c r="F19" s="101"/>
      <c r="G19" s="103" t="s">
        <v>43</v>
      </c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91"/>
    </row>
    <row r="20" spans="1:23" s="92" customFormat="1" x14ac:dyDescent="0.2">
      <c r="A20" s="105"/>
      <c r="C20" s="105" t="s">
        <v>30</v>
      </c>
      <c r="D20" s="105"/>
      <c r="E20" s="105"/>
      <c r="F20" s="105"/>
      <c r="G20" s="105"/>
      <c r="H20" s="106">
        <f>-SUMIFS(lv!D:D,lv!$B:$B,"6035")-SUMIFS(lv!D:D,lv!$B:$B,"605")</f>
        <v>-1405799.673</v>
      </c>
      <c r="I20" s="106">
        <f>-SUMIFS(lv!E:E,lv!$B:$B,"6035")-SUMIFS(lv!E:E,lv!$B:$B,"605")</f>
        <v>-1109793.628</v>
      </c>
      <c r="J20" s="106">
        <f>-SUMIFS(lv!F:F,lv!$B:$B,"6035")-SUMIFS(lv!F:F,lv!$B:$B,"605")</f>
        <v>-2265369.4569999999</v>
      </c>
      <c r="K20" s="106">
        <f>-SUMIFS(lv!G:G,lv!$B:$B,"6035")-SUMIFS(lv!G:G,lv!$B:$B,"605")</f>
        <v>-912194.73199999984</v>
      </c>
      <c r="L20" s="106">
        <f>-SUMIFS(lv!H:H,lv!$B:$B,"6035")-SUMIFS(lv!H:H,lv!$B:$B,"605")</f>
        <v>-2775296.8529999997</v>
      </c>
      <c r="M20" s="106">
        <f>-SUMIFS(lv!I:I,lv!$B:$B,"6035")-SUMIFS(lv!I:I,lv!$B:$B,"605")</f>
        <v>-2426065.3269999996</v>
      </c>
      <c r="N20" s="106">
        <f>-SUMIFS(lv!J:J,lv!$B:$B,"6035")-SUMIFS(lv!J:J,lv!$B:$B,"605")</f>
        <v>-2208671.807</v>
      </c>
      <c r="O20" s="106">
        <f>-SUMIFS(lv!K:K,lv!$B:$B,"6035")-SUMIFS(lv!K:K,lv!$B:$B,"605")</f>
        <v>-2261187.4559999998</v>
      </c>
      <c r="P20" s="106">
        <f>-SUMIFS(lv!L:L,lv!$B:$B,"6035")-SUMIFS(lv!L:L,lv!$B:$B,"605")</f>
        <v>-2252048.89</v>
      </c>
      <c r="Q20" s="94">
        <f t="shared" ref="Q20:S20" si="3">+Q8*Q21</f>
        <v>-2125000</v>
      </c>
      <c r="R20" s="94">
        <f t="shared" si="3"/>
        <v>-2125000</v>
      </c>
      <c r="S20" s="94">
        <f t="shared" si="3"/>
        <v>-2125000</v>
      </c>
      <c r="T20" s="107">
        <f t="shared" ref="T20:T22" si="4">SUM(H20:S20)</f>
        <v>-23991427.822999999</v>
      </c>
      <c r="V20" s="80"/>
    </row>
    <row r="21" spans="1:23" x14ac:dyDescent="0.2">
      <c r="A21" s="101"/>
      <c r="C21" s="102"/>
      <c r="D21" s="101" t="s">
        <v>45</v>
      </c>
      <c r="E21" s="101"/>
      <c r="F21" s="101"/>
      <c r="G21" s="101"/>
      <c r="H21" s="104">
        <f>+H20/H8</f>
        <v>-0.81531435206690062</v>
      </c>
      <c r="I21" s="104">
        <f t="shared" ref="I21:M21" si="5">+I20/I8</f>
        <v>-0.83488118093590458</v>
      </c>
      <c r="J21" s="104">
        <f t="shared" si="5"/>
        <v>-0.86501626295648415</v>
      </c>
      <c r="K21" s="104">
        <f t="shared" si="5"/>
        <v>-0.83993512959927663</v>
      </c>
      <c r="L21" s="104">
        <f t="shared" si="5"/>
        <v>-0.87526798958760099</v>
      </c>
      <c r="M21" s="104">
        <f t="shared" si="5"/>
        <v>-0.88247407020165003</v>
      </c>
      <c r="N21" s="104">
        <f t="shared" ref="N21:P21" si="6">+N20/N8</f>
        <v>-0.82607572715311839</v>
      </c>
      <c r="O21" s="104">
        <f t="shared" si="6"/>
        <v>-0.81769912560494173</v>
      </c>
      <c r="P21" s="104">
        <f t="shared" si="6"/>
        <v>-0.98472468500075805</v>
      </c>
      <c r="Q21" s="104">
        <v>-0.85</v>
      </c>
      <c r="R21" s="104">
        <v>-0.85</v>
      </c>
      <c r="S21" s="104">
        <v>-0.85</v>
      </c>
      <c r="T21" s="91"/>
    </row>
    <row r="22" spans="1:23" x14ac:dyDescent="0.2">
      <c r="A22" s="101"/>
      <c r="C22" s="102" t="s">
        <v>85</v>
      </c>
      <c r="D22" s="101"/>
      <c r="E22" s="101"/>
      <c r="F22" s="101"/>
      <c r="G22" s="101"/>
      <c r="H22" s="106">
        <f>+H9*H23</f>
        <v>0</v>
      </c>
      <c r="I22" s="106">
        <f t="shared" ref="I22" si="7">+I9*I23</f>
        <v>0</v>
      </c>
      <c r="J22" s="106">
        <f>+J9*J23</f>
        <v>0</v>
      </c>
      <c r="K22" s="106">
        <f t="shared" ref="K22:R22" si="8">+K9*K23</f>
        <v>0</v>
      </c>
      <c r="L22" s="106">
        <f t="shared" si="8"/>
        <v>0</v>
      </c>
      <c r="M22" s="106">
        <f t="shared" si="8"/>
        <v>0</v>
      </c>
      <c r="N22" s="106">
        <f t="shared" si="8"/>
        <v>0</v>
      </c>
      <c r="O22" s="106">
        <f t="shared" si="8"/>
        <v>0</v>
      </c>
      <c r="P22" s="106">
        <f>+P9*P21</f>
        <v>0</v>
      </c>
      <c r="Q22" s="94">
        <f t="shared" si="8"/>
        <v>0</v>
      </c>
      <c r="R22" s="94">
        <f t="shared" si="8"/>
        <v>0</v>
      </c>
      <c r="S22" s="94">
        <f>+S9*S21</f>
        <v>0</v>
      </c>
      <c r="T22" s="91">
        <f t="shared" si="4"/>
        <v>0</v>
      </c>
      <c r="W22" s="108"/>
    </row>
    <row r="23" spans="1:23" x14ac:dyDescent="0.2">
      <c r="D23" s="77" t="s">
        <v>45</v>
      </c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99"/>
    </row>
    <row r="24" spans="1:23" x14ac:dyDescent="0.2">
      <c r="H24" s="104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99"/>
    </row>
    <row r="25" spans="1:23" x14ac:dyDescent="0.2">
      <c r="A25" s="101"/>
      <c r="B25" s="99" t="s">
        <v>19</v>
      </c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91"/>
    </row>
    <row r="26" spans="1:23" x14ac:dyDescent="0.2">
      <c r="R26" s="101"/>
      <c r="S26" s="101"/>
      <c r="T26" s="99"/>
    </row>
    <row r="27" spans="1:23" s="92" customFormat="1" x14ac:dyDescent="0.2">
      <c r="C27" s="92" t="s">
        <v>20</v>
      </c>
      <c r="E27" s="109"/>
      <c r="F27" s="109"/>
      <c r="G27" s="109"/>
      <c r="H27" s="106"/>
      <c r="I27" s="106"/>
      <c r="J27" s="106"/>
      <c r="K27" s="106"/>
      <c r="L27" s="106"/>
      <c r="M27" s="106"/>
      <c r="N27" s="106"/>
      <c r="O27" s="106"/>
      <c r="P27" s="106"/>
      <c r="Q27" s="94"/>
      <c r="R27" s="94"/>
      <c r="S27" s="94"/>
      <c r="T27" s="107">
        <f t="shared" ref="T27:T51" si="9">SUM(H27:S27)</f>
        <v>0</v>
      </c>
      <c r="V27" s="80">
        <v>2</v>
      </c>
    </row>
    <row r="28" spans="1:23" x14ac:dyDescent="0.2">
      <c r="C28" s="110" t="s">
        <v>31</v>
      </c>
      <c r="D28" s="110"/>
      <c r="E28" s="83"/>
      <c r="F28" s="83"/>
      <c r="G28" s="83"/>
      <c r="H28" s="106">
        <f>-SUMIFS(lv!D:D,lv!$B:$B,"608")</f>
        <v>0</v>
      </c>
      <c r="I28" s="106">
        <f>-SUMIFS(lv!E:E,lv!$B:$B,"608")</f>
        <v>0</v>
      </c>
      <c r="J28" s="106">
        <f>-SUMIFS(lv!F:F,lv!$B:$B,"608")</f>
        <v>0</v>
      </c>
      <c r="K28" s="106">
        <f>-SUMIFS(lv!G:G,lv!$B:$B,"608")</f>
        <v>0</v>
      </c>
      <c r="L28" s="106">
        <f>-SUMIFS(lv!H:H,lv!$B:$B,"608")</f>
        <v>0</v>
      </c>
      <c r="M28" s="106">
        <f>-SUMIFS(lv!I:I,lv!$B:$B,"608")</f>
        <v>0</v>
      </c>
      <c r="N28" s="106">
        <f>-SUMIFS(lv!J:J,lv!$B:$B,"608")</f>
        <v>-642.6</v>
      </c>
      <c r="O28" s="106">
        <f>-SUMIFS(lv!K:K,lv!$B:$B,"608")</f>
        <v>0</v>
      </c>
      <c r="P28" s="106">
        <f>-SUMIFS(lv!L:L,lv!$B:$B,"608")</f>
        <v>-11822.5</v>
      </c>
      <c r="Q28" s="94"/>
      <c r="R28" s="94"/>
      <c r="S28" s="94"/>
      <c r="T28" s="107">
        <f t="shared" si="9"/>
        <v>-12465.1</v>
      </c>
      <c r="V28" s="80">
        <v>2</v>
      </c>
    </row>
    <row r="29" spans="1:23" s="92" customFormat="1" x14ac:dyDescent="0.2">
      <c r="C29" s="92" t="s">
        <v>134</v>
      </c>
      <c r="E29" s="109"/>
      <c r="F29" s="109"/>
      <c r="G29" s="109"/>
      <c r="H29" s="106"/>
      <c r="I29" s="106"/>
      <c r="J29" s="106"/>
      <c r="K29" s="106"/>
      <c r="L29" s="106"/>
      <c r="M29" s="106"/>
      <c r="N29" s="106"/>
      <c r="O29" s="106"/>
      <c r="P29" s="106"/>
      <c r="Q29" s="94"/>
      <c r="R29" s="94"/>
      <c r="S29" s="94"/>
      <c r="T29" s="107">
        <f t="shared" si="9"/>
        <v>0</v>
      </c>
      <c r="V29" s="80">
        <v>2</v>
      </c>
    </row>
    <row r="30" spans="1:23" x14ac:dyDescent="0.2">
      <c r="C30" s="110" t="s">
        <v>126</v>
      </c>
      <c r="D30" s="110"/>
      <c r="E30" s="83"/>
      <c r="F30" s="83"/>
      <c r="G30" s="83"/>
      <c r="H30" s="106">
        <f>-SUMIFS(lv!D:D,lv!$B:$B,"6110002")-SUMIFS(lv!D:D,lv!$B:$B,"6110004")</f>
        <v>0</v>
      </c>
      <c r="I30" s="106">
        <f>-SUMIFS(lv!E:E,lv!$B:$B,"6110002")-SUMIFS(lv!E:E,lv!$B:$B,"6110004")</f>
        <v>0</v>
      </c>
      <c r="J30" s="106">
        <f>-SUMIFS(lv!F:F,lv!$B:$B,"6110002")-SUMIFS(lv!F:F,lv!$B:$B,"6110004")</f>
        <v>0</v>
      </c>
      <c r="K30" s="106">
        <f>-SUMIFS(lv!G:G,lv!$B:$B,"6110002")-SUMIFS(lv!G:G,lv!$B:$B,"6110004")</f>
        <v>0</v>
      </c>
      <c r="L30" s="106">
        <f>-SUMIFS(lv!H:H,lv!$B:$B,"6110002")-SUMIFS(lv!H:H,lv!$B:$B,"6110004")</f>
        <v>0</v>
      </c>
      <c r="M30" s="106">
        <f>-SUMIFS(lv!I:I,lv!$B:$B,"6110002")-SUMIFS(lv!I:I,lv!$B:$B,"6110004")</f>
        <v>0</v>
      </c>
      <c r="N30" s="106">
        <f>-SUMIFS(lv!J:J,lv!$B:$B,"6110002")-SUMIFS(lv!J:J,lv!$B:$B,"6110004")</f>
        <v>0</v>
      </c>
      <c r="O30" s="106">
        <f>-SUMIFS(lv!K:K,lv!$B:$B,"6110002")-SUMIFS(lv!K:K,lv!$B:$B,"6110004")</f>
        <v>0</v>
      </c>
      <c r="P30" s="106">
        <f>-SUMIFS(lv!L:L,lv!$B:$B,"6110002")-SUMIFS(lv!L:L,lv!$B:$B,"6110004")</f>
        <v>0</v>
      </c>
      <c r="Q30" s="94">
        <f>-SUMIFS(lv!M:M,lv!$B:$B,"6110002")-SUMIFS(lv!M:M,lv!$B:$B,"6110004")</f>
        <v>0</v>
      </c>
      <c r="R30" s="94">
        <f>-SUMIFS(lv!N:N,lv!$B:$B,"6110002")-SUMIFS(lv!N:N,lv!$B:$B,"6110004")</f>
        <v>0</v>
      </c>
      <c r="S30" s="94">
        <f>-SUMIFS(lv!O:O,lv!$B:$B,"6110002")-SUMIFS(lv!O:O,lv!$B:$B,"6110004")</f>
        <v>0</v>
      </c>
      <c r="T30" s="107">
        <f t="shared" si="9"/>
        <v>0</v>
      </c>
      <c r="V30" s="80">
        <v>2</v>
      </c>
    </row>
    <row r="31" spans="1:23" s="92" customFormat="1" x14ac:dyDescent="0.2">
      <c r="C31" s="92" t="s">
        <v>133</v>
      </c>
      <c r="E31" s="109"/>
      <c r="F31" s="109"/>
      <c r="G31" s="109"/>
      <c r="H31" s="106">
        <v>-10000</v>
      </c>
      <c r="I31" s="106">
        <v>-10000</v>
      </c>
      <c r="J31" s="106">
        <v>-10000</v>
      </c>
      <c r="K31" s="106">
        <v>-10000</v>
      </c>
      <c r="L31" s="106">
        <v>-10000</v>
      </c>
      <c r="M31" s="106">
        <v>-10000</v>
      </c>
      <c r="N31" s="106">
        <v>-10000</v>
      </c>
      <c r="O31" s="106">
        <v>-10000</v>
      </c>
      <c r="P31" s="106">
        <v>-10000</v>
      </c>
      <c r="Q31" s="94">
        <v>-10000</v>
      </c>
      <c r="R31" s="94">
        <v>-10000</v>
      </c>
      <c r="S31" s="94">
        <v>-10000</v>
      </c>
      <c r="T31" s="107">
        <f t="shared" si="9"/>
        <v>-120000</v>
      </c>
      <c r="V31" s="80"/>
    </row>
    <row r="32" spans="1:23" x14ac:dyDescent="0.2">
      <c r="C32" s="110" t="s">
        <v>21</v>
      </c>
      <c r="D32" s="110"/>
      <c r="E32" s="83"/>
      <c r="F32" s="83"/>
      <c r="G32" s="83"/>
      <c r="H32" s="106"/>
      <c r="I32" s="106"/>
      <c r="J32" s="106"/>
      <c r="K32" s="106"/>
      <c r="L32" s="106"/>
      <c r="M32" s="106"/>
      <c r="N32" s="106"/>
      <c r="O32" s="106"/>
      <c r="P32" s="106"/>
      <c r="Q32" s="94"/>
      <c r="R32" s="94"/>
      <c r="S32" s="94"/>
      <c r="T32" s="107">
        <f t="shared" si="9"/>
        <v>0</v>
      </c>
      <c r="V32" s="80">
        <v>2</v>
      </c>
    </row>
    <row r="33" spans="1:22" x14ac:dyDescent="0.2">
      <c r="C33" s="110" t="s">
        <v>25</v>
      </c>
      <c r="D33" s="110"/>
      <c r="E33" s="83"/>
      <c r="F33" s="83"/>
      <c r="G33" s="83"/>
      <c r="H33" s="106"/>
      <c r="I33" s="106"/>
      <c r="J33" s="106"/>
      <c r="K33" s="106"/>
      <c r="L33" s="106"/>
      <c r="M33" s="106"/>
      <c r="N33" s="106"/>
      <c r="O33" s="106"/>
      <c r="P33" s="106"/>
      <c r="Q33" s="94"/>
      <c r="R33" s="94"/>
      <c r="S33" s="94"/>
      <c r="T33" s="107">
        <f t="shared" si="9"/>
        <v>0</v>
      </c>
    </row>
    <row r="34" spans="1:22" x14ac:dyDescent="0.2">
      <c r="C34" s="110" t="s">
        <v>86</v>
      </c>
      <c r="D34" s="110"/>
      <c r="E34" s="83"/>
      <c r="F34" s="83"/>
      <c r="G34" s="83"/>
      <c r="H34" s="106">
        <f>-SUMIFS(lv!D:D,lv!$B:$B,"618")</f>
        <v>0</v>
      </c>
      <c r="I34" s="106">
        <f>-SUMIFS(lv!E:E,lv!$B:$B,"618")</f>
        <v>0</v>
      </c>
      <c r="J34" s="106">
        <f>-SUMIFS(lv!F:F,lv!$B:$B,"618")</f>
        <v>0</v>
      </c>
      <c r="K34" s="106">
        <f>-SUMIFS(lv!G:G,lv!$B:$B,"618")</f>
        <v>0</v>
      </c>
      <c r="L34" s="106">
        <f>-SUMIFS(lv!H:H,lv!$B:$B,"618")</f>
        <v>0</v>
      </c>
      <c r="M34" s="106">
        <f>-SUMIFS(lv!I:I,lv!$B:$B,"618")</f>
        <v>0</v>
      </c>
      <c r="N34" s="106">
        <f>-SUMIFS(lv!J:J,lv!$B:$B,"618")</f>
        <v>0</v>
      </c>
      <c r="O34" s="106">
        <f>-SUMIFS(lv!K:K,lv!$B:$B,"618")</f>
        <v>0</v>
      </c>
      <c r="P34" s="106">
        <f>-SUMIFS(lv!L:L,lv!$B:$B,"618")</f>
        <v>-8800</v>
      </c>
      <c r="Q34" s="94">
        <v>-1000</v>
      </c>
      <c r="R34" s="94">
        <v>-1000</v>
      </c>
      <c r="S34" s="94">
        <v>-1000</v>
      </c>
      <c r="T34" s="107">
        <f t="shared" si="9"/>
        <v>-11800</v>
      </c>
      <c r="V34" s="80">
        <v>2</v>
      </c>
    </row>
    <row r="35" spans="1:22" s="92" customFormat="1" x14ac:dyDescent="0.2">
      <c r="C35" s="92" t="s">
        <v>135</v>
      </c>
      <c r="E35" s="109"/>
      <c r="F35" s="109"/>
      <c r="G35" s="109"/>
      <c r="H35" s="106"/>
      <c r="I35" s="106"/>
      <c r="J35" s="106"/>
      <c r="K35" s="106"/>
      <c r="L35" s="106"/>
      <c r="M35" s="106"/>
      <c r="N35" s="106"/>
      <c r="O35" s="106"/>
      <c r="P35" s="106"/>
      <c r="Q35" s="94"/>
      <c r="R35" s="94"/>
      <c r="S35" s="94"/>
      <c r="T35" s="107">
        <f t="shared" si="9"/>
        <v>0</v>
      </c>
      <c r="V35" s="80"/>
    </row>
    <row r="36" spans="1:22" x14ac:dyDescent="0.2">
      <c r="C36" s="110" t="s">
        <v>24</v>
      </c>
      <c r="D36" s="110"/>
      <c r="E36" s="83"/>
      <c r="F36" s="83"/>
      <c r="G36" s="83"/>
      <c r="H36" s="106"/>
      <c r="I36" s="106"/>
      <c r="J36" s="106"/>
      <c r="K36" s="106"/>
      <c r="L36" s="106"/>
      <c r="M36" s="106"/>
      <c r="N36" s="106"/>
      <c r="O36" s="106"/>
      <c r="P36" s="106"/>
      <c r="Q36" s="94"/>
      <c r="R36" s="94"/>
      <c r="S36" s="94"/>
      <c r="T36" s="107">
        <f t="shared" si="9"/>
        <v>0</v>
      </c>
    </row>
    <row r="37" spans="1:22" x14ac:dyDescent="0.2">
      <c r="C37" s="110" t="s">
        <v>22</v>
      </c>
      <c r="D37" s="110"/>
      <c r="E37" s="83"/>
      <c r="F37" s="83"/>
      <c r="G37" s="83"/>
      <c r="H37" s="106">
        <f>-SUMIFS(lv!D:D,lv!$B:$B,"626")-SUMIFS(lv!D:D,lv!$B:$B,"6260001")</f>
        <v>0</v>
      </c>
      <c r="I37" s="106">
        <f>-SUMIFS(lv!E:E,lv!$B:$B,"626")-SUMIFS(lv!E:E,lv!$B:$B,"6260001")</f>
        <v>0</v>
      </c>
      <c r="J37" s="106">
        <f>-SUMIFS(lv!F:F,lv!$B:$B,"626")-SUMIFS(lv!F:F,lv!$B:$B,"6260001")</f>
        <v>0</v>
      </c>
      <c r="K37" s="106">
        <f>-SUMIFS(lv!G:G,lv!$B:$B,"626")-SUMIFS(lv!G:G,lv!$B:$B,"6260001")</f>
        <v>-40000</v>
      </c>
      <c r="L37" s="106">
        <f>-SUMIFS(lv!H:H,lv!$B:$B,"626")-SUMIFS(lv!H:H,lv!$B:$B,"6260001")</f>
        <v>0</v>
      </c>
      <c r="M37" s="106">
        <f>-SUMIFS(lv!I:I,lv!$B:$B,"626")-SUMIFS(lv!I:I,lv!$B:$B,"6260001")</f>
        <v>0</v>
      </c>
      <c r="N37" s="106">
        <f>-SUMIFS(lv!J:J,lv!$B:$B,"626")-SUMIFS(lv!J:J,lv!$B:$B,"6260001")</f>
        <v>0</v>
      </c>
      <c r="O37" s="106">
        <f>-SUMIFS(lv!K:K,lv!$B:$B,"626")-SUMIFS(lv!K:K,lv!$B:$B,"6260001")</f>
        <v>0</v>
      </c>
      <c r="P37" s="106">
        <f>-SUMIFS(lv!L:L,lv!$B:$B,"626")-SUMIFS(lv!L:L,lv!$B:$B,"6260001")</f>
        <v>-20000</v>
      </c>
      <c r="Q37" s="94">
        <v>-10000</v>
      </c>
      <c r="R37" s="94">
        <v>-10000</v>
      </c>
      <c r="S37" s="94">
        <v>-10000</v>
      </c>
      <c r="T37" s="107">
        <f t="shared" si="9"/>
        <v>-90000</v>
      </c>
      <c r="V37" s="80">
        <v>2</v>
      </c>
    </row>
    <row r="38" spans="1:22" x14ac:dyDescent="0.2">
      <c r="C38" s="110" t="s">
        <v>23</v>
      </c>
      <c r="D38" s="110"/>
      <c r="E38" s="83"/>
      <c r="F38" s="83"/>
      <c r="G38" s="83"/>
      <c r="H38" s="106"/>
      <c r="I38" s="106"/>
      <c r="J38" s="106"/>
      <c r="K38" s="106"/>
      <c r="L38" s="106"/>
      <c r="M38" s="106"/>
      <c r="N38" s="106"/>
      <c r="O38" s="106"/>
      <c r="P38" s="106"/>
      <c r="Q38" s="94"/>
      <c r="R38" s="94"/>
      <c r="S38" s="94"/>
      <c r="T38" s="107">
        <f t="shared" si="9"/>
        <v>0</v>
      </c>
      <c r="V38" s="80">
        <v>2</v>
      </c>
    </row>
    <row r="39" spans="1:22" x14ac:dyDescent="0.2">
      <c r="C39" s="110" t="s">
        <v>32</v>
      </c>
      <c r="D39" s="110"/>
      <c r="E39" s="83"/>
      <c r="F39" s="83"/>
      <c r="G39" s="83"/>
      <c r="H39" s="106">
        <f>-SUMIFS(lv!D:D,lv!$B:$B,"628")</f>
        <v>-1638.67</v>
      </c>
      <c r="I39" s="106">
        <f>-SUMIFS(lv!E:E,lv!$B:$B,"628")</f>
        <v>-2138.67</v>
      </c>
      <c r="J39" s="106">
        <f>-SUMIFS(lv!F:F,lv!$B:$B,"628")</f>
        <v>-1918.67</v>
      </c>
      <c r="K39" s="106">
        <f>-SUMIFS(lv!G:G,lv!$B:$B,"628")</f>
        <v>-1638.67</v>
      </c>
      <c r="L39" s="106">
        <f>-SUMIFS(lv!H:H,lv!$B:$B,"628")</f>
        <v>-3009.5</v>
      </c>
      <c r="M39" s="106">
        <f>-SUMIFS(lv!I:I,lv!$B:$B,"628")</f>
        <v>-1032.5</v>
      </c>
      <c r="N39" s="106">
        <f>-SUMIFS(lv!J:J,lv!$B:$B,"628")</f>
        <v>0</v>
      </c>
      <c r="O39" s="106">
        <f>-SUMIFS(lv!K:K,lv!$B:$B,"628")</f>
        <v>0</v>
      </c>
      <c r="P39" s="106">
        <f>-SUMIFS(lv!L:L,lv!$B:$B,"628")</f>
        <v>0</v>
      </c>
      <c r="Q39" s="94">
        <v>-1500</v>
      </c>
      <c r="R39" s="94">
        <v>-1500</v>
      </c>
      <c r="S39" s="94">
        <v>-1500</v>
      </c>
      <c r="T39" s="107">
        <f t="shared" si="9"/>
        <v>-15876.68</v>
      </c>
    </row>
    <row r="40" spans="1:22" s="92" customFormat="1" x14ac:dyDescent="0.2">
      <c r="C40" s="92" t="s">
        <v>33</v>
      </c>
      <c r="E40" s="109"/>
      <c r="F40" s="109"/>
      <c r="G40" s="109"/>
      <c r="H40" s="106"/>
      <c r="I40" s="106"/>
      <c r="J40" s="106"/>
      <c r="K40" s="106"/>
      <c r="L40" s="106"/>
      <c r="M40" s="106"/>
      <c r="N40" s="106"/>
      <c r="O40" s="106"/>
      <c r="P40" s="106"/>
      <c r="Q40" s="94"/>
      <c r="R40" s="94"/>
      <c r="S40" s="94"/>
      <c r="T40" s="107">
        <f t="shared" si="9"/>
        <v>0</v>
      </c>
      <c r="V40" s="80"/>
    </row>
    <row r="41" spans="1:22" x14ac:dyDescent="0.2">
      <c r="C41" s="110" t="s">
        <v>34</v>
      </c>
      <c r="D41" s="110"/>
      <c r="E41" s="83"/>
      <c r="F41" s="83"/>
      <c r="G41" s="83"/>
      <c r="H41" s="106"/>
      <c r="I41" s="106"/>
      <c r="J41" s="106"/>
      <c r="K41" s="106"/>
      <c r="L41" s="106"/>
      <c r="M41" s="106"/>
      <c r="N41" s="106"/>
      <c r="O41" s="106"/>
      <c r="P41" s="106"/>
      <c r="Q41" s="94"/>
      <c r="R41" s="94"/>
      <c r="S41" s="94"/>
      <c r="T41" s="107">
        <f t="shared" si="9"/>
        <v>0</v>
      </c>
    </row>
    <row r="42" spans="1:22" s="92" customFormat="1" x14ac:dyDescent="0.2">
      <c r="C42" s="92" t="s">
        <v>35</v>
      </c>
      <c r="E42" s="109"/>
      <c r="F42" s="109"/>
      <c r="G42" s="109"/>
      <c r="H42" s="106">
        <f>-SUMIFS(lv!D:D,lv!$B:$B,"634")</f>
        <v>0</v>
      </c>
      <c r="I42" s="106">
        <f>-SUMIFS(lv!E:E,lv!$B:$B,"634")</f>
        <v>0</v>
      </c>
      <c r="J42" s="94">
        <f>-35120*2</f>
        <v>-70240</v>
      </c>
      <c r="K42" s="106">
        <f>-SUMIFS(lv!G:G,lv!$B:$B,"634")</f>
        <v>0</v>
      </c>
      <c r="L42" s="106">
        <f>-SUMIFS(lv!H:H,lv!$B:$B,"634")</f>
        <v>0</v>
      </c>
      <c r="M42" s="106">
        <f>-SUMIFS(lv!I:I,lv!$B:$B,"634")</f>
        <v>0</v>
      </c>
      <c r="N42" s="106">
        <f>-SUMIFS(lv!J:J,lv!$B:$B,"634")</f>
        <v>0</v>
      </c>
      <c r="O42" s="106">
        <f>-SUMIFS(lv!K:K,lv!$B:$B,"634")</f>
        <v>0</v>
      </c>
      <c r="P42" s="106">
        <f>-SUMIFS(lv!L:L,lv!$B:$B,"634")</f>
        <v>0</v>
      </c>
      <c r="Q42" s="94">
        <f>-SUMIFS(lv!M:M,lv!$B:$B,"634")</f>
        <v>0</v>
      </c>
      <c r="R42" s="94">
        <f>-SUMIFS(lv!N:N,lv!$B:$B,"634")</f>
        <v>0</v>
      </c>
      <c r="S42" s="94">
        <f>-SUMIFS(lv!O:O,lv!$B:$B,"634")</f>
        <v>0</v>
      </c>
      <c r="T42" s="107">
        <f t="shared" si="9"/>
        <v>-70240</v>
      </c>
      <c r="V42" s="80"/>
    </row>
    <row r="43" spans="1:22" x14ac:dyDescent="0.2">
      <c r="C43" s="110" t="s">
        <v>36</v>
      </c>
      <c r="D43" s="110"/>
      <c r="E43" s="83"/>
      <c r="F43" s="83"/>
      <c r="G43" s="83"/>
      <c r="H43" s="106">
        <f>-SUMIFS(lv!D:D,lv!$B:$B,"638")</f>
        <v>0</v>
      </c>
      <c r="I43" s="106">
        <f>-SUMIFS(lv!E:E,lv!$B:$B,"638")</f>
        <v>0</v>
      </c>
      <c r="J43" s="94">
        <v>-245000</v>
      </c>
      <c r="K43" s="106">
        <f>-SUMIFS(lv!G:G,lv!$B:$B,"638")</f>
        <v>0</v>
      </c>
      <c r="L43" s="106">
        <f>-SUMIFS(lv!H:H,lv!$B:$B,"638")</f>
        <v>0</v>
      </c>
      <c r="M43" s="106">
        <f>-SUMIFS(lv!I:I,lv!$B:$B,"638")</f>
        <v>0</v>
      </c>
      <c r="N43" s="106">
        <f>-SUMIFS(lv!J:J,lv!$B:$B,"638")</f>
        <v>0</v>
      </c>
      <c r="O43" s="106">
        <f>-SUMIFS(lv!K:K,lv!$B:$B,"638")</f>
        <v>0</v>
      </c>
      <c r="P43" s="106">
        <f>-SUMIFS(lv!L:L,lv!$B:$B,"638")</f>
        <v>0</v>
      </c>
      <c r="Q43" s="94">
        <f>-SUMIFS(lv!M:M,lv!$B:$B,"638")</f>
        <v>0</v>
      </c>
      <c r="R43" s="94">
        <f>-SUMIFS(lv!N:N,lv!$B:$B,"638")</f>
        <v>0</v>
      </c>
      <c r="S43" s="94">
        <f>-SUMIFS(lv!O:O,lv!$B:$B,"638")</f>
        <v>0</v>
      </c>
      <c r="T43" s="107">
        <f t="shared" si="9"/>
        <v>-245000</v>
      </c>
    </row>
    <row r="44" spans="1:22" s="92" customFormat="1" x14ac:dyDescent="0.2">
      <c r="A44" s="105"/>
      <c r="C44" s="105" t="s">
        <v>37</v>
      </c>
      <c r="D44" s="105"/>
      <c r="E44" s="105"/>
      <c r="F44" s="105"/>
      <c r="G44" s="105"/>
      <c r="H44" s="106">
        <f>-SUMIFS(lv!D:D,lv!$B:$B,"641")</f>
        <v>-166264</v>
      </c>
      <c r="I44" s="106">
        <f>-SUMIFS(lv!E:E,lv!$B:$B,"641")</f>
        <v>-166264</v>
      </c>
      <c r="J44" s="106">
        <f>-SUMIFS(lv!F:F,lv!$B:$B,"641")</f>
        <v>-210303</v>
      </c>
      <c r="K44" s="106">
        <f>-SUMIFS(lv!G:G,lv!$B:$B,"641")</f>
        <v>-192978</v>
      </c>
      <c r="L44" s="106">
        <f>-SUMIFS(lv!H:H,lv!$B:$B,"641")</f>
        <v>-200012</v>
      </c>
      <c r="M44" s="106">
        <f>-SUMIFS(lv!I:I,lv!$B:$B,"641")</f>
        <v>-224224</v>
      </c>
      <c r="N44" s="106">
        <f>-SUMIFS(lv!J:J,lv!$B:$B,"641")</f>
        <v>-224224</v>
      </c>
      <c r="O44" s="106">
        <f>-SUMIFS(lv!K:K,lv!$B:$B,"641")</f>
        <v>-224224</v>
      </c>
      <c r="P44" s="106">
        <f>-SUMIFS(lv!L:L,lv!$B:$B,"641")</f>
        <v>-224224</v>
      </c>
      <c r="Q44" s="94">
        <v>-193000</v>
      </c>
      <c r="R44" s="94">
        <v>-193000</v>
      </c>
      <c r="S44" s="94">
        <v>-193000</v>
      </c>
      <c r="T44" s="107">
        <f t="shared" si="9"/>
        <v>-2411717</v>
      </c>
      <c r="V44" s="80"/>
    </row>
    <row r="45" spans="1:22" s="92" customFormat="1" x14ac:dyDescent="0.2">
      <c r="A45" s="105"/>
      <c r="C45" s="105" t="s">
        <v>38</v>
      </c>
      <c r="D45" s="105"/>
      <c r="E45" s="105"/>
      <c r="F45" s="105"/>
      <c r="G45" s="105"/>
      <c r="H45" s="106">
        <f>-SUMIFS(lv!D:D,lv!$B:$B,"644")</f>
        <v>-27766</v>
      </c>
      <c r="I45" s="106">
        <f>-SUMIFS(lv!E:E,lv!$B:$B,"644")</f>
        <v>-27766</v>
      </c>
      <c r="J45" s="106">
        <f>-SUMIFS(lv!F:F,lv!$B:$B,"644")</f>
        <v>-33416</v>
      </c>
      <c r="K45" s="106">
        <f>-SUMIFS(lv!G:G,lv!$B:$B,"644")</f>
        <v>-30523</v>
      </c>
      <c r="L45" s="106">
        <f>-SUMIFS(lv!H:H,lv!$B:$B,"644")</f>
        <v>-32863</v>
      </c>
      <c r="M45" s="106">
        <f>-SUMIFS(lv!I:I,lv!$B:$B,"644")</f>
        <v>-36907</v>
      </c>
      <c r="N45" s="106">
        <f>-SUMIFS(lv!J:J,lv!$B:$B,"644")</f>
        <v>-36907</v>
      </c>
      <c r="O45" s="106">
        <f>-SUMIFS(lv!K:K,lv!$B:$B,"644")</f>
        <v>-36907</v>
      </c>
      <c r="P45" s="106">
        <f>-SUMIFS(lv!L:L,lv!$B:$B,"644")</f>
        <v>-36907</v>
      </c>
      <c r="Q45" s="94">
        <f t="shared" ref="Q45:S45" si="10">+Q44*16.7%</f>
        <v>-32230.999999999996</v>
      </c>
      <c r="R45" s="94">
        <f t="shared" si="10"/>
        <v>-32230.999999999996</v>
      </c>
      <c r="S45" s="94">
        <f t="shared" si="10"/>
        <v>-32230.999999999996</v>
      </c>
      <c r="T45" s="107">
        <f t="shared" si="9"/>
        <v>-396655</v>
      </c>
      <c r="V45" s="80"/>
    </row>
    <row r="46" spans="1:22" x14ac:dyDescent="0.2">
      <c r="C46" s="110" t="s">
        <v>26</v>
      </c>
      <c r="D46" s="110"/>
      <c r="E46" s="83"/>
      <c r="F46" s="83"/>
      <c r="G46" s="83"/>
      <c r="H46" s="106"/>
      <c r="I46" s="106"/>
      <c r="J46" s="106"/>
      <c r="K46" s="106"/>
      <c r="L46" s="106"/>
      <c r="M46" s="106"/>
      <c r="N46" s="106"/>
      <c r="O46" s="106"/>
      <c r="P46" s="106"/>
      <c r="Q46" s="94"/>
      <c r="R46" s="94"/>
      <c r="S46" s="94"/>
      <c r="T46" s="107">
        <f t="shared" si="9"/>
        <v>0</v>
      </c>
    </row>
    <row r="47" spans="1:22" s="92" customFormat="1" x14ac:dyDescent="0.2">
      <c r="C47" s="92" t="s">
        <v>39</v>
      </c>
      <c r="E47" s="109"/>
      <c r="F47" s="109"/>
      <c r="G47" s="109"/>
      <c r="H47" s="106">
        <f>-SUMIFS(lv!D:D,lv!$B:$B,"658")</f>
        <v>-11120.8</v>
      </c>
      <c r="I47" s="106">
        <f>-SUMIFS(lv!E:E,lv!$B:$B,"658")</f>
        <v>0</v>
      </c>
      <c r="J47" s="106">
        <f>-SUMIFS(lv!F:F,lv!$B:$B,"658")</f>
        <v>-18328</v>
      </c>
      <c r="K47" s="106">
        <f>-SUMIFS(lv!G:G,lv!$B:$B,"658")</f>
        <v>0</v>
      </c>
      <c r="L47" s="106">
        <f>-SUMIFS(lv!H:H,lv!$B:$B,"658")</f>
        <v>0</v>
      </c>
      <c r="M47" s="106">
        <f>-SUMIFS(lv!I:I,lv!$B:$B,"658")</f>
        <v>-16328.8</v>
      </c>
      <c r="N47" s="106">
        <f>-SUMIFS(lv!J:J,lv!$B:$B,"658")</f>
        <v>0</v>
      </c>
      <c r="O47" s="106">
        <f>-SUMIFS(lv!K:K,lv!$B:$B,"658")</f>
        <v>0</v>
      </c>
      <c r="P47" s="106">
        <f>-SUMIFS(lv!L:L,lv!$B:$B,"658")</f>
        <v>0</v>
      </c>
      <c r="Q47" s="94">
        <v>-5330</v>
      </c>
      <c r="R47" s="94">
        <v>-5330</v>
      </c>
      <c r="S47" s="94">
        <v>-5330</v>
      </c>
      <c r="T47" s="107">
        <f t="shared" si="9"/>
        <v>-61767.6</v>
      </c>
      <c r="V47" s="80"/>
    </row>
    <row r="48" spans="1:22" s="92" customFormat="1" x14ac:dyDescent="0.2">
      <c r="C48" s="92" t="s">
        <v>119</v>
      </c>
      <c r="E48" s="109"/>
      <c r="F48" s="109"/>
      <c r="G48" s="109"/>
      <c r="H48" s="106">
        <f>-SUMIFS(lv!D:D,lv!$B:$B,"667")</f>
        <v>-34160.33</v>
      </c>
      <c r="I48" s="106">
        <f>-SUMIFS(lv!E:E,lv!$B:$B,"667")</f>
        <v>-36942.75</v>
      </c>
      <c r="J48" s="106">
        <f>-SUMIFS(lv!F:F,lv!$B:$B,"667")</f>
        <v>-8633.25</v>
      </c>
      <c r="K48" s="106">
        <f>-SUMIFS(lv!G:G,lv!$B:$B,"667")</f>
        <v>-60339.6</v>
      </c>
      <c r="L48" s="106">
        <f>-SUMIFS(lv!H:H,lv!$B:$B,"667")</f>
        <v>-34408.800000000003</v>
      </c>
      <c r="M48" s="106">
        <f>-SUMIFS(lv!I:I,lv!$B:$B,"667")</f>
        <v>-35784.449999999997</v>
      </c>
      <c r="N48" s="106">
        <f>-SUMIFS(lv!J:J,lv!$B:$B,"667")</f>
        <v>0</v>
      </c>
      <c r="O48" s="106">
        <f>-SUMIFS(lv!K:K,lv!$B:$B,"667")</f>
        <v>0</v>
      </c>
      <c r="P48" s="106">
        <f>-SUMIFS(lv!L:L,lv!$B:$B,"667")</f>
        <v>0</v>
      </c>
      <c r="Q48" s="94">
        <v>-110000</v>
      </c>
      <c r="R48" s="94">
        <v>-110000</v>
      </c>
      <c r="S48" s="94">
        <v>-110000</v>
      </c>
      <c r="T48" s="107">
        <f t="shared" si="9"/>
        <v>-540269.17999999993</v>
      </c>
      <c r="V48" s="80"/>
    </row>
    <row r="49" spans="2:22" s="92" customFormat="1" x14ac:dyDescent="0.2">
      <c r="C49" s="92" t="s">
        <v>149</v>
      </c>
      <c r="E49" s="109"/>
      <c r="F49" s="109"/>
      <c r="G49" s="109"/>
      <c r="H49" s="106">
        <f>-SUMIFS(lv!D:D,lv!$B:$B,"669")</f>
        <v>0</v>
      </c>
      <c r="I49" s="106">
        <f>-SUMIFS(lv!E:E,lv!$B:$B,"669")</f>
        <v>0</v>
      </c>
      <c r="J49" s="106">
        <f>-SUMIFS(lv!F:F,lv!$B:$B,"669")</f>
        <v>0</v>
      </c>
      <c r="K49" s="106">
        <f>-SUMIFS(lv!G:G,lv!$B:$B,"669")</f>
        <v>0</v>
      </c>
      <c r="L49" s="106">
        <f>-SUMIFS(lv!H:H,lv!$B:$B,"669")</f>
        <v>0</v>
      </c>
      <c r="M49" s="106">
        <f>-SUMIFS(lv!I:I,lv!$B:$B,"669")</f>
        <v>0</v>
      </c>
      <c r="N49" s="106">
        <f>-SUMIFS(lv!J:J,lv!$B:$B,"669")</f>
        <v>0</v>
      </c>
      <c r="O49" s="106">
        <f>-SUMIFS(lv!K:K,lv!$B:$B,"669")</f>
        <v>0</v>
      </c>
      <c r="P49" s="106">
        <f>-SUMIFS(lv!L:L,lv!$B:$B,"669")</f>
        <v>0</v>
      </c>
      <c r="Q49" s="94">
        <f>-SUMIFS(lv!M:M,lv!$B:$B,"669")</f>
        <v>0</v>
      </c>
      <c r="R49" s="94">
        <f>-SUMIFS(lv!N:N,lv!$B:$B,"669")</f>
        <v>0</v>
      </c>
      <c r="S49" s="94">
        <f>-SUMIFS(lv!O:O,lv!$B:$B,"669")</f>
        <v>0</v>
      </c>
      <c r="T49" s="107">
        <f t="shared" si="9"/>
        <v>0</v>
      </c>
      <c r="V49" s="80"/>
    </row>
    <row r="50" spans="2:22" x14ac:dyDescent="0.2">
      <c r="C50" s="110" t="s">
        <v>40</v>
      </c>
      <c r="D50" s="110"/>
      <c r="E50" s="83"/>
      <c r="F50" s="83"/>
      <c r="G50" s="83"/>
      <c r="H50" s="106">
        <v>-69800</v>
      </c>
      <c r="I50" s="106">
        <v>-69800</v>
      </c>
      <c r="J50" s="106">
        <v>-69800</v>
      </c>
      <c r="K50" s="106">
        <v>-69800</v>
      </c>
      <c r="L50" s="106">
        <v>-69800</v>
      </c>
      <c r="M50" s="106">
        <v>-69800</v>
      </c>
      <c r="N50" s="106">
        <v>-69800</v>
      </c>
      <c r="O50" s="106">
        <v>-69800</v>
      </c>
      <c r="P50" s="106">
        <v>-69800</v>
      </c>
      <c r="Q50" s="94">
        <v>-69800</v>
      </c>
      <c r="R50" s="94">
        <v>-69800</v>
      </c>
      <c r="S50" s="94">
        <v>-69800</v>
      </c>
      <c r="T50" s="107">
        <f t="shared" si="9"/>
        <v>-837600</v>
      </c>
    </row>
    <row r="51" spans="2:22" x14ac:dyDescent="0.2">
      <c r="C51" s="110" t="s">
        <v>27</v>
      </c>
      <c r="D51" s="110"/>
      <c r="E51" s="83"/>
      <c r="F51" s="83"/>
      <c r="G51" s="83"/>
      <c r="H51" s="106"/>
      <c r="I51" s="106"/>
      <c r="J51" s="106"/>
      <c r="K51" s="106"/>
      <c r="L51" s="106"/>
      <c r="M51" s="106"/>
      <c r="N51" s="106"/>
      <c r="O51" s="106"/>
      <c r="P51" s="106"/>
      <c r="Q51" s="94"/>
      <c r="R51" s="94"/>
      <c r="S51" s="94"/>
      <c r="T51" s="107">
        <f t="shared" si="9"/>
        <v>0</v>
      </c>
    </row>
    <row r="52" spans="2:22" x14ac:dyDescent="0.2">
      <c r="T52" s="83"/>
    </row>
    <row r="53" spans="2:22" s="83" customFormat="1" x14ac:dyDescent="0.2">
      <c r="B53" s="111" t="s">
        <v>28</v>
      </c>
      <c r="C53" s="111"/>
      <c r="D53" s="111"/>
      <c r="E53" s="111"/>
      <c r="F53" s="111"/>
      <c r="G53" s="111"/>
      <c r="H53" s="112">
        <f>SUM(H27:H52)</f>
        <v>-320749.8</v>
      </c>
      <c r="I53" s="112">
        <f>SUM(I27:I52)</f>
        <v>-312911.42000000004</v>
      </c>
      <c r="J53" s="112">
        <f t="shared" ref="J53:S53" si="11">SUM(J27:J52)</f>
        <v>-667638.91999999993</v>
      </c>
      <c r="K53" s="112">
        <f t="shared" si="11"/>
        <v>-405279.26999999996</v>
      </c>
      <c r="L53" s="112">
        <f t="shared" si="11"/>
        <v>-350093.3</v>
      </c>
      <c r="M53" s="112">
        <f t="shared" si="11"/>
        <v>-394076.75</v>
      </c>
      <c r="N53" s="112">
        <f t="shared" si="11"/>
        <v>-341573.6</v>
      </c>
      <c r="O53" s="112">
        <f t="shared" si="11"/>
        <v>-340931</v>
      </c>
      <c r="P53" s="112">
        <f t="shared" si="11"/>
        <v>-381553.5</v>
      </c>
      <c r="Q53" s="112">
        <f t="shared" si="11"/>
        <v>-432861</v>
      </c>
      <c r="R53" s="112">
        <f t="shared" si="11"/>
        <v>-432861</v>
      </c>
      <c r="S53" s="112">
        <f t="shared" si="11"/>
        <v>-432861</v>
      </c>
      <c r="T53" s="112">
        <f>SUM(T27:T52)</f>
        <v>-4813390.5600000005</v>
      </c>
      <c r="V53" s="84"/>
    </row>
    <row r="54" spans="2:22" x14ac:dyDescent="0.2">
      <c r="T54" s="83"/>
    </row>
    <row r="55" spans="2:22" x14ac:dyDescent="0.2">
      <c r="B55" s="113" t="s">
        <v>29</v>
      </c>
      <c r="C55" s="113"/>
      <c r="D55" s="113"/>
      <c r="E55" s="113"/>
      <c r="F55" s="113"/>
      <c r="G55" s="113"/>
      <c r="H55" s="114">
        <f>+H17+H20+H22+H53</f>
        <v>245120.26700000005</v>
      </c>
      <c r="I55" s="114">
        <f t="shared" ref="I55:S55" si="12">+I17+I20+I22+I53</f>
        <v>150928.272</v>
      </c>
      <c r="J55" s="114">
        <f t="shared" si="12"/>
        <v>-57360.046999999788</v>
      </c>
      <c r="K55" s="114">
        <f>+K17+K20+K22+K53</f>
        <v>13913.978000000177</v>
      </c>
      <c r="L55" s="114">
        <f t="shared" si="12"/>
        <v>310406.54700000054</v>
      </c>
      <c r="M55" s="114">
        <f t="shared" si="12"/>
        <v>192219.42300000042</v>
      </c>
      <c r="N55" s="114">
        <f t="shared" si="12"/>
        <v>364176.60299999977</v>
      </c>
      <c r="O55" s="114">
        <f t="shared" si="12"/>
        <v>403916.51400000043</v>
      </c>
      <c r="P55" s="114">
        <f t="shared" si="12"/>
        <v>-105165.11000000034</v>
      </c>
      <c r="Q55" s="114">
        <f t="shared" si="12"/>
        <v>192139</v>
      </c>
      <c r="R55" s="114">
        <f t="shared" si="12"/>
        <v>192139</v>
      </c>
      <c r="S55" s="114">
        <f t="shared" si="12"/>
        <v>192139</v>
      </c>
      <c r="T55" s="114">
        <f>+T17+T20+T22+T53</f>
        <v>2094573.4470000025</v>
      </c>
    </row>
    <row r="57" spans="2:22" x14ac:dyDescent="0.2">
      <c r="B57" s="113" t="s">
        <v>29</v>
      </c>
      <c r="C57" s="113"/>
      <c r="D57" s="113"/>
      <c r="E57" s="113"/>
      <c r="F57" s="113"/>
      <c r="G57" s="113" t="s">
        <v>43</v>
      </c>
      <c r="H57" s="113"/>
      <c r="I57" s="113"/>
      <c r="J57" s="113"/>
      <c r="K57" s="113"/>
      <c r="L57" s="113"/>
      <c r="M57" s="113"/>
      <c r="N57" s="113"/>
      <c r="O57" s="113"/>
      <c r="P57" s="113"/>
      <c r="Q57" s="113"/>
      <c r="R57" s="113"/>
      <c r="S57" s="113"/>
      <c r="T57" s="115">
        <f>+T55/T17</f>
        <v>6.7786882619689487E-2</v>
      </c>
      <c r="V57" s="80" t="s">
        <v>141</v>
      </c>
    </row>
    <row r="59" spans="2:22" s="116" customFormat="1" x14ac:dyDescent="0.2">
      <c r="C59" s="116" t="s">
        <v>41</v>
      </c>
      <c r="T59" s="117">
        <f>-SUM(CashFlow!E14:P14)</f>
        <v>1151070</v>
      </c>
      <c r="V59" s="80"/>
    </row>
    <row r="60" spans="2:22" s="118" customFormat="1" x14ac:dyDescent="0.2">
      <c r="C60" s="118" t="s">
        <v>42</v>
      </c>
      <c r="T60" s="119">
        <f>+T55*15%-T59</f>
        <v>-836883.98294999963</v>
      </c>
      <c r="V60" s="80"/>
    </row>
    <row r="62" spans="2:22" s="116" customFormat="1" x14ac:dyDescent="0.2">
      <c r="T62" s="120"/>
      <c r="V62" s="80"/>
    </row>
    <row r="63" spans="2:22" s="116" customFormat="1" x14ac:dyDescent="0.2">
      <c r="T63" s="120"/>
      <c r="V63" s="80"/>
    </row>
  </sheetData>
  <mergeCells count="1">
    <mergeCell ref="H2:T2"/>
  </mergeCells>
  <printOptions horizontalCentered="1"/>
  <pageMargins left="0" right="0" top="0" bottom="0" header="0.3" footer="0.3"/>
  <pageSetup scale="8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0" tint="-0.249977111117893"/>
  </sheetPr>
  <dimension ref="A1:S50"/>
  <sheetViews>
    <sheetView zoomScale="85" zoomScaleNormal="85" workbookViewId="0">
      <selection activeCell="R1" sqref="R1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5" width="11.5703125" style="2" bestFit="1" customWidth="1"/>
    <col min="6" max="16" width="12.28515625" style="2" bestFit="1" customWidth="1"/>
    <col min="17" max="17" width="1.7109375" style="2" customWidth="1"/>
    <col min="18" max="18" width="9.140625" style="2"/>
    <col min="19" max="19" width="1.7109375" style="2" customWidth="1"/>
    <col min="20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46</v>
      </c>
      <c r="C2" s="3"/>
      <c r="D2" s="3"/>
      <c r="E2" s="3"/>
    </row>
    <row r="3" spans="2:16" x14ac:dyDescent="0.2">
      <c r="B3" s="72"/>
      <c r="C3" s="72"/>
      <c r="D3" s="72"/>
      <c r="E3" s="72"/>
    </row>
    <row r="4" spans="2:16" x14ac:dyDescent="0.2">
      <c r="B4" s="4"/>
      <c r="C4" s="5" t="s">
        <v>47</v>
      </c>
      <c r="D4" s="5"/>
      <c r="E4" s="6">
        <v>42735</v>
      </c>
      <c r="F4" s="4"/>
    </row>
    <row r="5" spans="2:16" x14ac:dyDescent="0.2">
      <c r="C5" s="5" t="s">
        <v>48</v>
      </c>
      <c r="D5" s="5"/>
      <c r="E5" s="41">
        <v>875725.35630999401</v>
      </c>
      <c r="F5" s="7">
        <f>+E41</f>
        <v>1637423.2573099942</v>
      </c>
      <c r="G5" s="7">
        <f t="shared" ref="G5:P5" si="0">+F41</f>
        <v>-1361319.402690006</v>
      </c>
      <c r="H5" s="7">
        <f t="shared" si="0"/>
        <v>-4409185.6946900059</v>
      </c>
      <c r="I5" s="7">
        <f t="shared" si="0"/>
        <v>-8114546.8246900057</v>
      </c>
      <c r="J5" s="7">
        <f t="shared" si="0"/>
        <v>-13149206.348690005</v>
      </c>
      <c r="K5" s="7">
        <f t="shared" si="0"/>
        <v>-14708494.290690005</v>
      </c>
      <c r="L5" s="7">
        <f t="shared" si="0"/>
        <v>-13737480.478690006</v>
      </c>
      <c r="M5" s="7">
        <f t="shared" si="0"/>
        <v>-15354614.894690005</v>
      </c>
      <c r="N5" s="7">
        <f t="shared" si="0"/>
        <v>-14360788.654690005</v>
      </c>
      <c r="O5" s="7">
        <f t="shared" si="0"/>
        <v>-13639626.654690005</v>
      </c>
      <c r="P5" s="7">
        <f t="shared" si="0"/>
        <v>-15418464.654690005</v>
      </c>
    </row>
    <row r="7" spans="2:16" x14ac:dyDescent="0.2">
      <c r="B7" s="71" t="s">
        <v>49</v>
      </c>
      <c r="C7" s="71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x14ac:dyDescent="0.2">
      <c r="B8" s="73" t="s">
        <v>50</v>
      </c>
      <c r="C8" s="73"/>
      <c r="D8" s="10"/>
      <c r="E8" s="41">
        <f>+'P&amp;L'!H17*1.2</f>
        <v>2366003.6880000001</v>
      </c>
      <c r="F8" s="41">
        <f>+'P&amp;L'!I17*1.2</f>
        <v>1888359.9839999999</v>
      </c>
      <c r="G8" s="41">
        <f>+'P&amp;L'!J17*1.2</f>
        <v>3450777.9959999998</v>
      </c>
      <c r="H8" s="41">
        <f>+'P&amp;L'!K17*1.2</f>
        <v>1597665.5759999999</v>
      </c>
      <c r="I8" s="41">
        <f>+'P&amp;L'!L17*1.2</f>
        <v>4122956.04</v>
      </c>
      <c r="J8" s="41">
        <f>+'P&amp;L'!M17*1.2</f>
        <v>3614833.8</v>
      </c>
      <c r="K8" s="41">
        <f>+'P&amp;L'!N17*1.2</f>
        <v>3497306.4119999995</v>
      </c>
      <c r="L8" s="41">
        <f>+'P&amp;L'!O17*1.2</f>
        <v>3607241.9640000002</v>
      </c>
      <c r="M8" s="41">
        <f>+'P&amp;L'!P17*1.2</f>
        <v>3034124.7359999996</v>
      </c>
      <c r="N8" s="41">
        <f>+'P&amp;L'!Q17*1.2</f>
        <v>3300000</v>
      </c>
      <c r="O8" s="41">
        <f>+'P&amp;L'!R17*1.2</f>
        <v>3300000</v>
      </c>
      <c r="P8" s="41">
        <f>+'P&amp;L'!S17*1.2</f>
        <v>3300000</v>
      </c>
    </row>
    <row r="9" spans="2:16" x14ac:dyDescent="0.2">
      <c r="B9" s="70" t="s">
        <v>51</v>
      </c>
      <c r="C9" s="70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  <row r="10" spans="2:16" x14ac:dyDescent="0.2">
      <c r="C10" s="13" t="s">
        <v>52</v>
      </c>
      <c r="D10" s="13"/>
      <c r="E10" s="41">
        <f>-Inventories!E9*1.2</f>
        <v>-1016996.9879999999</v>
      </c>
      <c r="F10" s="41">
        <f>-Inventories!F9*1.2</f>
        <v>-1307632.2239999999</v>
      </c>
      <c r="G10" s="41">
        <f>-Inventories!G9*1.2</f>
        <v>-2564446.3680000002</v>
      </c>
      <c r="H10" s="41">
        <f>-Inventories!H9*1.2</f>
        <v>-4551770.4359999998</v>
      </c>
      <c r="I10" s="41">
        <f>-Inventories!I9*1.2</f>
        <v>-5461545.2639999995</v>
      </c>
      <c r="J10" s="41">
        <f>-Inventories!J9*1.2</f>
        <v>-1434067.9919999999</v>
      </c>
      <c r="K10" s="41">
        <f>-Inventories!K9*1.2</f>
        <v>-1838742</v>
      </c>
      <c r="L10" s="41">
        <f>-Inventories!L9*1.2</f>
        <v>-1537468.38</v>
      </c>
      <c r="M10" s="41">
        <f>-Inventories!M9*1.2</f>
        <v>-1312767.996</v>
      </c>
      <c r="N10" s="41">
        <f>-Inventories!N9*1.2</f>
        <v>-1800000</v>
      </c>
      <c r="O10" s="41">
        <f>-Inventories!O9*1.2</f>
        <v>-1800000</v>
      </c>
      <c r="P10" s="41">
        <f>-Inventories!P9*1.2</f>
        <v>-1800000</v>
      </c>
    </row>
    <row r="11" spans="2:16" x14ac:dyDescent="0.2">
      <c r="C11" s="13" t="s">
        <v>53</v>
      </c>
      <c r="D11" s="13"/>
      <c r="E11" s="41">
        <f>+'P&amp;L'!H53-'P&amp;L'!H44-'P&amp;L'!H45-'P&amp;L'!H50</f>
        <v>-56919.799999999988</v>
      </c>
      <c r="F11" s="41">
        <f>+'P&amp;L'!I53-'P&amp;L'!I44-'P&amp;L'!I45-'P&amp;L'!I50</f>
        <v>-49081.420000000042</v>
      </c>
      <c r="G11" s="41">
        <f>+'P&amp;L'!J53-'P&amp;L'!J44-'P&amp;L'!J45-'P&amp;L'!J50</f>
        <v>-354119.91999999993</v>
      </c>
      <c r="H11" s="41">
        <f>+'P&amp;L'!K53-'P&amp;L'!K44-'P&amp;L'!K45-'P&amp;L'!K50</f>
        <v>-111978.26999999996</v>
      </c>
      <c r="I11" s="41">
        <f>+'P&amp;L'!L53-'P&amp;L'!L44-'P&amp;L'!L45-'P&amp;L'!L50</f>
        <v>-47418.299999999988</v>
      </c>
      <c r="J11" s="41">
        <f>+'P&amp;L'!M53-'P&amp;L'!M44-'P&amp;L'!M45-'P&amp;L'!M50</f>
        <v>-63145.75</v>
      </c>
      <c r="K11" s="41">
        <f>+'P&amp;L'!N53-'P&amp;L'!N44-'P&amp;L'!N45-'P&amp;L'!N50</f>
        <v>-10642.599999999977</v>
      </c>
      <c r="L11" s="41">
        <f>+'P&amp;L'!O53-'P&amp;L'!O44-'P&amp;L'!O45-'P&amp;L'!O50</f>
        <v>-10000</v>
      </c>
      <c r="M11" s="41">
        <f>+'P&amp;L'!P53-'P&amp;L'!P44-'P&amp;L'!P45-'P&amp;L'!P50</f>
        <v>-50622.5</v>
      </c>
      <c r="N11" s="41">
        <f>+'P&amp;L'!Q53-'P&amp;L'!Q44-'P&amp;L'!Q45-'P&amp;L'!Q50</f>
        <v>-137830</v>
      </c>
      <c r="O11" s="41">
        <f>+'P&amp;L'!R53-'P&amp;L'!R44-'P&amp;L'!R45-'P&amp;L'!R50</f>
        <v>-137830</v>
      </c>
      <c r="P11" s="41">
        <f>+'P&amp;L'!S53-'P&amp;L'!S44-'P&amp;L'!S45-'P&amp;L'!S50</f>
        <v>-137830</v>
      </c>
    </row>
    <row r="12" spans="2:16" x14ac:dyDescent="0.2">
      <c r="C12" s="13" t="s">
        <v>54</v>
      </c>
      <c r="D12" s="13"/>
      <c r="E12" s="41">
        <f>+'P&amp;L'!H44+'P&amp;L'!H45</f>
        <v>-194030</v>
      </c>
      <c r="F12" s="41">
        <f>+'P&amp;L'!I44+'P&amp;L'!I45</f>
        <v>-194030</v>
      </c>
      <c r="G12" s="41">
        <f>+'P&amp;L'!J44+'P&amp;L'!J45</f>
        <v>-243719</v>
      </c>
      <c r="H12" s="41">
        <f>+'P&amp;L'!K44+'P&amp;L'!K45</f>
        <v>-223501</v>
      </c>
      <c r="I12" s="41">
        <f>+'P&amp;L'!L44+'P&amp;L'!L45</f>
        <v>-232875</v>
      </c>
      <c r="J12" s="41">
        <f>+'P&amp;L'!M44+'P&amp;L'!M45</f>
        <v>-261131</v>
      </c>
      <c r="K12" s="41">
        <f>+'P&amp;L'!N44+'P&amp;L'!N45</f>
        <v>-261131</v>
      </c>
      <c r="L12" s="41">
        <f>+'P&amp;L'!O44+'P&amp;L'!O45</f>
        <v>-261131</v>
      </c>
      <c r="M12" s="41">
        <f>+'P&amp;L'!P44+'P&amp;L'!P45</f>
        <v>-261131</v>
      </c>
      <c r="N12" s="41">
        <f>+'P&amp;L'!Q44+'P&amp;L'!Q45</f>
        <v>-225231</v>
      </c>
      <c r="O12" s="41">
        <f>+'P&amp;L'!R44+'P&amp;L'!R45</f>
        <v>-225231</v>
      </c>
      <c r="P12" s="41">
        <f>+'P&amp;L'!S44+'P&amp;L'!S45</f>
        <v>-225231</v>
      </c>
    </row>
    <row r="13" spans="2:16" hidden="1" x14ac:dyDescent="0.2">
      <c r="C13" s="13" t="s">
        <v>55</v>
      </c>
      <c r="D13" s="13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pans="2:16" x14ac:dyDescent="0.2">
      <c r="C14" s="13" t="s">
        <v>56</v>
      </c>
      <c r="D14" s="13"/>
      <c r="E14" s="7">
        <v>-36359</v>
      </c>
      <c r="F14" s="7">
        <v>-36359</v>
      </c>
      <c r="G14" s="7">
        <v>-36359</v>
      </c>
      <c r="H14" s="7">
        <v>-115777</v>
      </c>
      <c r="I14" s="7">
        <v>-115777</v>
      </c>
      <c r="J14" s="7">
        <v>-115777</v>
      </c>
      <c r="K14" s="7">
        <v>-115777</v>
      </c>
      <c r="L14" s="7">
        <v>-115777</v>
      </c>
      <c r="M14" s="7">
        <v>-115777</v>
      </c>
      <c r="N14" s="7">
        <v>-115777</v>
      </c>
      <c r="O14" s="7">
        <v>-115777</v>
      </c>
      <c r="P14" s="7">
        <v>-115777</v>
      </c>
    </row>
    <row r="15" spans="2:16" x14ac:dyDescent="0.2">
      <c r="B15" s="74" t="s">
        <v>57</v>
      </c>
      <c r="C15" s="74"/>
      <c r="D15" s="14"/>
      <c r="E15" s="15">
        <f>SUM(E8:E14)</f>
        <v>1061697.9000000001</v>
      </c>
      <c r="F15" s="15">
        <f>SUM(F8:F14)</f>
        <v>301257.33999999997</v>
      </c>
      <c r="G15" s="15">
        <f t="shared" ref="G15:P15" si="1">SUM(G8:G14)</f>
        <v>252133.70799999963</v>
      </c>
      <c r="H15" s="15">
        <f t="shared" si="1"/>
        <v>-3405361.13</v>
      </c>
      <c r="I15" s="15">
        <f t="shared" si="1"/>
        <v>-1734659.5239999995</v>
      </c>
      <c r="J15" s="15">
        <f t="shared" si="1"/>
        <v>1740712.0580000002</v>
      </c>
      <c r="K15" s="15">
        <f t="shared" si="1"/>
        <v>1271013.8119999995</v>
      </c>
      <c r="L15" s="15">
        <f t="shared" si="1"/>
        <v>1682865.5840000003</v>
      </c>
      <c r="M15" s="15">
        <f t="shared" si="1"/>
        <v>1293826.2399999995</v>
      </c>
      <c r="N15" s="15">
        <f t="shared" si="1"/>
        <v>1021162</v>
      </c>
      <c r="O15" s="15">
        <f t="shared" si="1"/>
        <v>1021162</v>
      </c>
      <c r="P15" s="15">
        <f t="shared" si="1"/>
        <v>1021162</v>
      </c>
    </row>
    <row r="17" spans="1:18" x14ac:dyDescent="0.2">
      <c r="A17" s="16" t="s">
        <v>58</v>
      </c>
      <c r="B17" s="71" t="s">
        <v>59</v>
      </c>
      <c r="C17" s="71"/>
      <c r="D17" s="8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</row>
    <row r="18" spans="1:18" x14ac:dyDescent="0.2">
      <c r="B18" s="70" t="s">
        <v>60</v>
      </c>
      <c r="C18" s="70"/>
      <c r="D18" s="11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</row>
    <row r="19" spans="1:18" x14ac:dyDescent="0.2">
      <c r="C19" s="18" t="s">
        <v>61</v>
      </c>
      <c r="D19" s="18"/>
      <c r="E19" s="7">
        <v>1E-3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R19" s="2">
        <v>2</v>
      </c>
    </row>
    <row r="20" spans="1:18" x14ac:dyDescent="0.2">
      <c r="C20" s="18" t="s">
        <v>62</v>
      </c>
      <c r="D20" s="18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</row>
    <row r="21" spans="1:18" hidden="1" x14ac:dyDescent="0.2">
      <c r="C21" s="18" t="s">
        <v>63</v>
      </c>
      <c r="D21" s="18"/>
      <c r="E21" s="7">
        <v>1E-3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</row>
    <row r="22" spans="1:18" x14ac:dyDescent="0.2">
      <c r="B22" s="70" t="s">
        <v>51</v>
      </c>
      <c r="C22" s="70"/>
      <c r="D22" s="11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</row>
    <row r="23" spans="1:18" x14ac:dyDescent="0.2">
      <c r="C23" s="18" t="s">
        <v>64</v>
      </c>
      <c r="D23" s="18"/>
      <c r="E23" s="7">
        <v>-1E-3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R23" s="2">
        <v>2</v>
      </c>
    </row>
    <row r="24" spans="1:18" x14ac:dyDescent="0.2">
      <c r="C24" s="18" t="s">
        <v>65</v>
      </c>
      <c r="D24" s="18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8" hidden="1" x14ac:dyDescent="0.2">
      <c r="C25" s="18" t="s">
        <v>66</v>
      </c>
      <c r="D25" s="18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8" x14ac:dyDescent="0.2">
      <c r="B26" s="68" t="s">
        <v>67</v>
      </c>
      <c r="C26" s="68"/>
      <c r="D26" s="19"/>
      <c r="E26" s="15">
        <f>SUM(E18:E25)</f>
        <v>1E-3</v>
      </c>
      <c r="F26" s="15">
        <f>SUM(F18:F25)</f>
        <v>0</v>
      </c>
      <c r="G26" s="15">
        <f t="shared" ref="G26:P26" si="2">SUM(G18:G25)</f>
        <v>0</v>
      </c>
      <c r="H26" s="15">
        <f t="shared" si="2"/>
        <v>0</v>
      </c>
      <c r="I26" s="15">
        <f t="shared" si="2"/>
        <v>0</v>
      </c>
      <c r="J26" s="15">
        <f t="shared" si="2"/>
        <v>0</v>
      </c>
      <c r="K26" s="15">
        <f t="shared" si="2"/>
        <v>0</v>
      </c>
      <c r="L26" s="15">
        <f t="shared" si="2"/>
        <v>0</v>
      </c>
      <c r="M26" s="15">
        <f t="shared" si="2"/>
        <v>0</v>
      </c>
      <c r="N26" s="15">
        <f t="shared" si="2"/>
        <v>0</v>
      </c>
      <c r="O26" s="15">
        <f t="shared" si="2"/>
        <v>0</v>
      </c>
      <c r="P26" s="15">
        <f t="shared" si="2"/>
        <v>0</v>
      </c>
    </row>
    <row r="27" spans="1:18" x14ac:dyDescent="0.2">
      <c r="B27" s="16" t="s">
        <v>58</v>
      </c>
    </row>
    <row r="28" spans="1:18" x14ac:dyDescent="0.2">
      <c r="B28" s="71" t="s">
        <v>68</v>
      </c>
      <c r="C28" s="71"/>
      <c r="D28" s="8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</row>
    <row r="29" spans="1:18" x14ac:dyDescent="0.2">
      <c r="B29" s="70" t="s">
        <v>60</v>
      </c>
      <c r="C29" s="70"/>
      <c r="D29" s="11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</row>
    <row r="30" spans="1:18" x14ac:dyDescent="0.2">
      <c r="C30" s="18" t="s">
        <v>69</v>
      </c>
      <c r="D30" s="18"/>
      <c r="E30" s="7">
        <v>1E-3</v>
      </c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2">
      <c r="C31" s="18" t="s">
        <v>152</v>
      </c>
      <c r="D31" s="18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</row>
    <row r="32" spans="1:18" x14ac:dyDescent="0.2">
      <c r="C32" s="18" t="s">
        <v>70</v>
      </c>
      <c r="D32" s="18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</row>
    <row r="33" spans="2:19" x14ac:dyDescent="0.2">
      <c r="B33" s="70" t="s">
        <v>51</v>
      </c>
      <c r="C33" s="70"/>
      <c r="D33" s="11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</row>
    <row r="34" spans="2:19" x14ac:dyDescent="0.2">
      <c r="C34" s="18" t="s">
        <v>144</v>
      </c>
      <c r="D34" s="18"/>
      <c r="E34" s="7">
        <v>-1E-3</v>
      </c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</row>
    <row r="35" spans="2:19" x14ac:dyDescent="0.2">
      <c r="C35" s="18" t="s">
        <v>71</v>
      </c>
      <c r="D35" s="18"/>
      <c r="E35" s="7">
        <v>-300000</v>
      </c>
      <c r="F35" s="7">
        <v>-300000</v>
      </c>
      <c r="G35" s="7">
        <v>-300000</v>
      </c>
      <c r="H35" s="7">
        <v>-300000</v>
      </c>
      <c r="I35" s="7">
        <v>-300000</v>
      </c>
      <c r="J35" s="7">
        <v>-300000</v>
      </c>
      <c r="K35" s="7">
        <v>-300000</v>
      </c>
      <c r="L35" s="7">
        <v>-300000</v>
      </c>
      <c r="M35" s="7">
        <v>-300000</v>
      </c>
      <c r="N35" s="7">
        <v>-300000</v>
      </c>
      <c r="O35" s="7">
        <v>-300000</v>
      </c>
      <c r="P35" s="7">
        <v>-300000</v>
      </c>
    </row>
    <row r="36" spans="2:19" x14ac:dyDescent="0.2">
      <c r="C36" s="18" t="s">
        <v>72</v>
      </c>
      <c r="D36" s="18"/>
      <c r="E36" s="7"/>
      <c r="F36" s="7">
        <v>-3000000</v>
      </c>
      <c r="G36" s="7">
        <v>-3000000</v>
      </c>
      <c r="H36" s="7"/>
      <c r="I36" s="7">
        <v>-3000000</v>
      </c>
      <c r="J36" s="7">
        <v>-3000000</v>
      </c>
      <c r="K36" s="7"/>
      <c r="L36" s="7">
        <v>-3000000</v>
      </c>
      <c r="M36" s="7"/>
      <c r="N36" s="7"/>
      <c r="O36" s="7">
        <v>-2500000</v>
      </c>
      <c r="P36" s="7">
        <v>-900000</v>
      </c>
    </row>
    <row r="37" spans="2:19" x14ac:dyDescent="0.2">
      <c r="B37" s="68" t="s">
        <v>73</v>
      </c>
      <c r="C37" s="68"/>
      <c r="D37" s="19"/>
      <c r="E37" s="15">
        <f t="shared" ref="E37:P37" si="3">SUM(E29:E36)</f>
        <v>-300000</v>
      </c>
      <c r="F37" s="15">
        <f t="shared" si="3"/>
        <v>-3300000</v>
      </c>
      <c r="G37" s="15">
        <f t="shared" si="3"/>
        <v>-3300000</v>
      </c>
      <c r="H37" s="15">
        <f t="shared" si="3"/>
        <v>-300000</v>
      </c>
      <c r="I37" s="15">
        <f t="shared" si="3"/>
        <v>-3300000</v>
      </c>
      <c r="J37" s="15">
        <f t="shared" si="3"/>
        <v>-3300000</v>
      </c>
      <c r="K37" s="15">
        <f t="shared" si="3"/>
        <v>-300000</v>
      </c>
      <c r="L37" s="15">
        <f t="shared" si="3"/>
        <v>-3300000</v>
      </c>
      <c r="M37" s="15">
        <f t="shared" si="3"/>
        <v>-300000</v>
      </c>
      <c r="N37" s="15">
        <f t="shared" si="3"/>
        <v>-300000</v>
      </c>
      <c r="O37" s="15">
        <f t="shared" si="3"/>
        <v>-2800000</v>
      </c>
      <c r="P37" s="15">
        <f t="shared" si="3"/>
        <v>-1200000</v>
      </c>
    </row>
    <row r="39" spans="2:19" ht="13.5" thickBot="1" x14ac:dyDescent="0.25">
      <c r="B39" s="69" t="s">
        <v>74</v>
      </c>
      <c r="C39" s="69"/>
      <c r="D39" s="20"/>
      <c r="E39" s="21">
        <f t="shared" ref="E39:P39" si="4">E15+E26+E37</f>
        <v>761697.90100000007</v>
      </c>
      <c r="F39" s="21">
        <f t="shared" si="4"/>
        <v>-2998742.66</v>
      </c>
      <c r="G39" s="21">
        <f t="shared" si="4"/>
        <v>-3047866.2920000004</v>
      </c>
      <c r="H39" s="21">
        <f t="shared" si="4"/>
        <v>-3705361.13</v>
      </c>
      <c r="I39" s="21">
        <f t="shared" si="4"/>
        <v>-5034659.5239999993</v>
      </c>
      <c r="J39" s="21">
        <f t="shared" si="4"/>
        <v>-1559287.9419999998</v>
      </c>
      <c r="K39" s="21">
        <f t="shared" si="4"/>
        <v>971013.81199999945</v>
      </c>
      <c r="L39" s="21">
        <f t="shared" si="4"/>
        <v>-1617134.4159999997</v>
      </c>
      <c r="M39" s="21">
        <f t="shared" si="4"/>
        <v>993826.23999999953</v>
      </c>
      <c r="N39" s="21">
        <f t="shared" si="4"/>
        <v>721162</v>
      </c>
      <c r="O39" s="21">
        <f t="shared" si="4"/>
        <v>-1778838</v>
      </c>
      <c r="P39" s="21">
        <f t="shared" si="4"/>
        <v>-178838</v>
      </c>
    </row>
    <row r="40" spans="2:19" ht="13.5" thickTop="1" x14ac:dyDescent="0.2"/>
    <row r="41" spans="2:19" x14ac:dyDescent="0.2">
      <c r="C41" s="5" t="s">
        <v>75</v>
      </c>
      <c r="D41" s="5"/>
      <c r="E41" s="44">
        <f t="shared" ref="E41:P41" si="5">E5+E39</f>
        <v>1637423.2573099942</v>
      </c>
      <c r="F41" s="44">
        <f t="shared" si="5"/>
        <v>-1361319.402690006</v>
      </c>
      <c r="G41" s="44">
        <f t="shared" si="5"/>
        <v>-4409185.6946900059</v>
      </c>
      <c r="H41" s="44">
        <f t="shared" si="5"/>
        <v>-8114546.8246900057</v>
      </c>
      <c r="I41" s="44">
        <f t="shared" si="5"/>
        <v>-13149206.348690005</v>
      </c>
      <c r="J41" s="44">
        <f t="shared" si="5"/>
        <v>-14708494.290690005</v>
      </c>
      <c r="K41" s="44">
        <f t="shared" si="5"/>
        <v>-13737480.478690006</v>
      </c>
      <c r="L41" s="44">
        <f t="shared" si="5"/>
        <v>-15354614.894690005</v>
      </c>
      <c r="M41" s="44">
        <f t="shared" si="5"/>
        <v>-14360788.654690005</v>
      </c>
      <c r="N41" s="44">
        <f t="shared" si="5"/>
        <v>-13639626.654690005</v>
      </c>
      <c r="O41" s="44">
        <f t="shared" si="5"/>
        <v>-15418464.654690005</v>
      </c>
      <c r="P41" s="44">
        <f t="shared" si="5"/>
        <v>-15597302.654690005</v>
      </c>
    </row>
    <row r="42" spans="2:19" x14ac:dyDescent="0.2">
      <c r="B42" s="22" t="s">
        <v>76</v>
      </c>
      <c r="E42" s="23"/>
    </row>
    <row r="43" spans="2:19" x14ac:dyDescent="0.2">
      <c r="B43" s="2" t="s">
        <v>127</v>
      </c>
      <c r="E43" s="45" t="str">
        <f>+IF(E41&lt;0,E41,"NO")</f>
        <v>NO</v>
      </c>
      <c r="F43" s="45">
        <f t="shared" ref="F43:O43" si="6">+IF(F41&lt;0,F41,"NO")</f>
        <v>-1361319.402690006</v>
      </c>
      <c r="G43" s="45">
        <f t="shared" si="6"/>
        <v>-4409185.6946900059</v>
      </c>
      <c r="H43" s="45">
        <f t="shared" si="6"/>
        <v>-8114546.8246900057</v>
      </c>
      <c r="I43" s="45">
        <f t="shared" si="6"/>
        <v>-13149206.348690005</v>
      </c>
      <c r="J43" s="45">
        <f t="shared" si="6"/>
        <v>-14708494.290690005</v>
      </c>
      <c r="K43" s="45">
        <f t="shared" si="6"/>
        <v>-13737480.478690006</v>
      </c>
      <c r="L43" s="45">
        <f t="shared" si="6"/>
        <v>-15354614.894690005</v>
      </c>
      <c r="M43" s="45">
        <f t="shared" si="6"/>
        <v>-14360788.654690005</v>
      </c>
      <c r="N43" s="45">
        <f t="shared" si="6"/>
        <v>-13639626.654690005</v>
      </c>
      <c r="O43" s="45">
        <f t="shared" si="6"/>
        <v>-15418464.654690005</v>
      </c>
      <c r="P43" s="45">
        <f>+P41</f>
        <v>-15597302.654690005</v>
      </c>
    </row>
    <row r="45" spans="2:19" x14ac:dyDescent="0.2">
      <c r="C45" s="2" t="s">
        <v>160</v>
      </c>
      <c r="D45" s="2" t="s">
        <v>142</v>
      </c>
      <c r="E45" s="47">
        <v>-6918587</v>
      </c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S45" s="48"/>
    </row>
    <row r="46" spans="2:19" x14ac:dyDescent="0.2">
      <c r="E46" s="47">
        <f>-E32-E36</f>
        <v>0</v>
      </c>
      <c r="F46" s="47">
        <f t="shared" ref="F46:P46" si="7">-F32-F36</f>
        <v>3000000</v>
      </c>
      <c r="G46" s="47">
        <f t="shared" si="7"/>
        <v>3000000</v>
      </c>
      <c r="H46" s="47">
        <f t="shared" si="7"/>
        <v>0</v>
      </c>
      <c r="I46" s="47">
        <f t="shared" si="7"/>
        <v>3000000</v>
      </c>
      <c r="J46" s="47">
        <f t="shared" si="7"/>
        <v>3000000</v>
      </c>
      <c r="K46" s="47">
        <f t="shared" si="7"/>
        <v>0</v>
      </c>
      <c r="L46" s="47">
        <f t="shared" si="7"/>
        <v>3000000</v>
      </c>
      <c r="M46" s="47">
        <f t="shared" si="7"/>
        <v>0</v>
      </c>
      <c r="N46" s="47">
        <f t="shared" si="7"/>
        <v>0</v>
      </c>
      <c r="O46" s="47">
        <f t="shared" si="7"/>
        <v>2500000</v>
      </c>
      <c r="P46" s="47">
        <f t="shared" si="7"/>
        <v>900000</v>
      </c>
      <c r="R46" s="2" t="s">
        <v>210</v>
      </c>
    </row>
    <row r="47" spans="2:19" x14ac:dyDescent="0.2">
      <c r="D47" s="2" t="s">
        <v>143</v>
      </c>
      <c r="E47" s="49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50">
        <f>+E45+SUM(E46:P46)</f>
        <v>11481413</v>
      </c>
    </row>
    <row r="48" spans="2:19" x14ac:dyDescent="0.2">
      <c r="C48" s="2" t="s">
        <v>161</v>
      </c>
      <c r="D48" s="2" t="s">
        <v>142</v>
      </c>
      <c r="E48" s="47">
        <v>-23597100.640000001</v>
      </c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</row>
    <row r="49" spans="4:16" x14ac:dyDescent="0.2">
      <c r="E49" s="47">
        <f>-E35</f>
        <v>300000</v>
      </c>
      <c r="F49" s="47">
        <f t="shared" ref="F49:P49" si="8">-F35</f>
        <v>300000</v>
      </c>
      <c r="G49" s="47">
        <f t="shared" si="8"/>
        <v>300000</v>
      </c>
      <c r="H49" s="47">
        <f t="shared" si="8"/>
        <v>300000</v>
      </c>
      <c r="I49" s="47">
        <f t="shared" si="8"/>
        <v>300000</v>
      </c>
      <c r="J49" s="47">
        <f t="shared" si="8"/>
        <v>300000</v>
      </c>
      <c r="K49" s="47">
        <f t="shared" si="8"/>
        <v>300000</v>
      </c>
      <c r="L49" s="47">
        <f t="shared" si="8"/>
        <v>300000</v>
      </c>
      <c r="M49" s="47">
        <f t="shared" si="8"/>
        <v>300000</v>
      </c>
      <c r="N49" s="47">
        <f t="shared" si="8"/>
        <v>300000</v>
      </c>
      <c r="O49" s="47">
        <f t="shared" si="8"/>
        <v>300000</v>
      </c>
      <c r="P49" s="47">
        <f t="shared" si="8"/>
        <v>300000</v>
      </c>
    </row>
    <row r="50" spans="4:16" x14ac:dyDescent="0.2">
      <c r="D50" s="2" t="s">
        <v>143</v>
      </c>
      <c r="E50" s="49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50">
        <f>+E48+SUM(E49:P49)</f>
        <v>-19997100.640000001</v>
      </c>
    </row>
  </sheetData>
  <mergeCells count="14">
    <mergeCell ref="B17:C17"/>
    <mergeCell ref="B3:E3"/>
    <mergeCell ref="B7:C7"/>
    <mergeCell ref="B8:C8"/>
    <mergeCell ref="B9:C9"/>
    <mergeCell ref="B15:C15"/>
    <mergeCell ref="B37:C37"/>
    <mergeCell ref="B39:C39"/>
    <mergeCell ref="B18:C18"/>
    <mergeCell ref="B22:C22"/>
    <mergeCell ref="B26:C26"/>
    <mergeCell ref="B28:C28"/>
    <mergeCell ref="B29:C29"/>
    <mergeCell ref="B33:C3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 tint="-0.249977111117893"/>
  </sheetPr>
  <dimension ref="B1:R31"/>
  <sheetViews>
    <sheetView zoomScale="85" zoomScaleNormal="85" workbookViewId="0">
      <selection activeCell="G36" sqref="G36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0" width="10.7109375" style="2" customWidth="1"/>
    <col min="11" max="11" width="11.5703125" style="2" bestFit="1" customWidth="1"/>
    <col min="12" max="13" width="11.7109375" style="2" bestFit="1" customWidth="1"/>
    <col min="14" max="15" width="12" style="2" bestFit="1" customWidth="1"/>
    <col min="16" max="16" width="12.7109375" style="2" customWidth="1"/>
    <col min="17" max="16384" width="9.140625" style="2"/>
  </cols>
  <sheetData>
    <row r="1" spans="2:18" x14ac:dyDescent="0.2">
      <c r="B1" s="1"/>
      <c r="C1" s="1"/>
      <c r="D1" s="1"/>
      <c r="E1" s="1"/>
    </row>
    <row r="2" spans="2:18" x14ac:dyDescent="0.2">
      <c r="B2" s="3" t="s">
        <v>77</v>
      </c>
      <c r="C2" s="3"/>
      <c r="D2" s="3"/>
      <c r="E2" s="3"/>
    </row>
    <row r="3" spans="2:18" x14ac:dyDescent="0.2">
      <c r="B3" s="76" t="s">
        <v>89</v>
      </c>
      <c r="C3" s="76"/>
      <c r="D3" s="76"/>
      <c r="E3" s="76"/>
      <c r="R3" s="2" t="s">
        <v>87</v>
      </c>
    </row>
    <row r="4" spans="2:18" x14ac:dyDescent="0.2">
      <c r="B4" s="4"/>
      <c r="C4" s="5" t="s">
        <v>47</v>
      </c>
      <c r="D4" s="5"/>
      <c r="E4" s="6">
        <v>42735</v>
      </c>
      <c r="F4" s="4"/>
    </row>
    <row r="5" spans="2:18" x14ac:dyDescent="0.2">
      <c r="C5" s="5" t="s">
        <v>83</v>
      </c>
      <c r="D5" s="5"/>
      <c r="E5" s="43">
        <v>3497001.8469999502</v>
      </c>
      <c r="F5" s="26">
        <f>+E13</f>
        <v>2938699.6639999505</v>
      </c>
      <c r="G5" s="26">
        <f t="shared" ref="G5:P5" si="0">+F13</f>
        <v>2918599.5559999505</v>
      </c>
      <c r="H5" s="26">
        <f t="shared" si="0"/>
        <v>2790268.7389999507</v>
      </c>
      <c r="I5" s="26">
        <f t="shared" si="0"/>
        <v>5671216.0369999502</v>
      </c>
      <c r="J5" s="26">
        <f t="shared" si="0"/>
        <v>7447206.9039999507</v>
      </c>
      <c r="K5" s="26">
        <f t="shared" si="0"/>
        <v>6216198.2369999513</v>
      </c>
      <c r="L5" s="26">
        <f t="shared" si="0"/>
        <v>5539811.4299999513</v>
      </c>
      <c r="M5" s="26">
        <f t="shared" si="0"/>
        <v>4559847.6239999514</v>
      </c>
      <c r="N5" s="26">
        <f t="shared" si="0"/>
        <v>3401772.0639999514</v>
      </c>
      <c r="O5" s="26">
        <f t="shared" si="0"/>
        <v>2776772.0639999514</v>
      </c>
      <c r="P5" s="26">
        <f t="shared" si="0"/>
        <v>2151772.0639999514</v>
      </c>
    </row>
    <row r="7" spans="2:18" x14ac:dyDescent="0.2">
      <c r="B7" s="71" t="s">
        <v>77</v>
      </c>
      <c r="C7" s="71"/>
      <c r="D7" s="8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8" s="24" customFormat="1" x14ac:dyDescent="0.2">
      <c r="C8" s="24" t="s">
        <v>78</v>
      </c>
      <c r="D8" s="25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</row>
    <row r="9" spans="2:18" s="24" customFormat="1" x14ac:dyDescent="0.2">
      <c r="C9" s="24" t="s">
        <v>79</v>
      </c>
      <c r="D9" s="25"/>
      <c r="E9" s="42">
        <f>+lv!D32</f>
        <v>847497.49</v>
      </c>
      <c r="F9" s="42">
        <f>+lv!E32</f>
        <v>1089693.52</v>
      </c>
      <c r="G9" s="42">
        <f>+lv!F32</f>
        <v>2137038.64</v>
      </c>
      <c r="H9" s="42">
        <f>+lv!G32</f>
        <v>3793142.03</v>
      </c>
      <c r="I9" s="42">
        <f>+lv!H32</f>
        <v>4551287.72</v>
      </c>
      <c r="J9" s="42">
        <f>+lv!I32</f>
        <v>1195056.6599999999</v>
      </c>
      <c r="K9" s="42">
        <f>+lv!J32</f>
        <v>1532285</v>
      </c>
      <c r="L9" s="42">
        <f>+lv!K32</f>
        <v>1281223.6499999999</v>
      </c>
      <c r="M9" s="42">
        <f>+lv!L32</f>
        <v>1093973.33</v>
      </c>
      <c r="N9" s="46">
        <v>1500000</v>
      </c>
      <c r="O9" s="46">
        <v>1500000</v>
      </c>
      <c r="P9" s="46">
        <v>1500000</v>
      </c>
      <c r="R9" s="24">
        <v>2</v>
      </c>
    </row>
    <row r="10" spans="2:18" s="24" customFormat="1" x14ac:dyDescent="0.2">
      <c r="C10" s="24" t="s">
        <v>80</v>
      </c>
      <c r="D10" s="25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</row>
    <row r="11" spans="2:18" s="24" customFormat="1" x14ac:dyDescent="0.2">
      <c r="C11" s="24" t="s">
        <v>81</v>
      </c>
      <c r="D11" s="25"/>
      <c r="E11" s="39">
        <f>+'P&amp;L'!H20+'P&amp;L'!H22</f>
        <v>-1405799.673</v>
      </c>
      <c r="F11" s="39">
        <f>+'P&amp;L'!I20+'P&amp;L'!I22</f>
        <v>-1109793.628</v>
      </c>
      <c r="G11" s="39">
        <f>+'P&amp;L'!J20+'P&amp;L'!J22</f>
        <v>-2265369.4569999999</v>
      </c>
      <c r="H11" s="39">
        <f>+'P&amp;L'!K20+'P&amp;L'!K22</f>
        <v>-912194.73199999984</v>
      </c>
      <c r="I11" s="39">
        <f>+'P&amp;L'!L20+'P&amp;L'!L22</f>
        <v>-2775296.8529999997</v>
      </c>
      <c r="J11" s="39">
        <f>+'P&amp;L'!M20+'P&amp;L'!M22</f>
        <v>-2426065.3269999996</v>
      </c>
      <c r="K11" s="39">
        <f>+'P&amp;L'!N20+'P&amp;L'!N22</f>
        <v>-2208671.807</v>
      </c>
      <c r="L11" s="39">
        <f>+'P&amp;L'!O20+'P&amp;L'!O22</f>
        <v>-2261187.4559999998</v>
      </c>
      <c r="M11" s="39">
        <f>+'P&amp;L'!P20+'P&amp;L'!P22</f>
        <v>-2252048.89</v>
      </c>
      <c r="N11" s="51">
        <f>+'P&amp;L'!Q20+'P&amp;L'!Q22</f>
        <v>-2125000</v>
      </c>
      <c r="O11" s="51">
        <f>+'P&amp;L'!R20+'P&amp;L'!R22</f>
        <v>-2125000</v>
      </c>
      <c r="P11" s="51">
        <f>+'P&amp;L'!S20+'P&amp;L'!S22</f>
        <v>-2125000</v>
      </c>
    </row>
    <row r="12" spans="2:18" s="24" customFormat="1" x14ac:dyDescent="0.2">
      <c r="C12" s="25" t="s">
        <v>82</v>
      </c>
      <c r="D12" s="25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2:18" ht="13.5" thickBot="1" x14ac:dyDescent="0.25">
      <c r="B13" s="75" t="s">
        <v>84</v>
      </c>
      <c r="C13" s="75"/>
      <c r="D13" s="20"/>
      <c r="E13" s="29">
        <f>+E5+SUM(E8:E12)</f>
        <v>2938699.6639999505</v>
      </c>
      <c r="F13" s="29">
        <f>+F5+SUM(F8:F12)</f>
        <v>2918599.5559999505</v>
      </c>
      <c r="G13" s="29">
        <f>+G5+SUM(G8:G12)</f>
        <v>2790268.7389999507</v>
      </c>
      <c r="H13" s="29">
        <f>+H5+SUM(H8:H12)</f>
        <v>5671216.0369999502</v>
      </c>
      <c r="I13" s="29">
        <f t="shared" ref="I13:P13" si="1">+I5+SUM(I8:I12)</f>
        <v>7447206.9039999507</v>
      </c>
      <c r="J13" s="29">
        <f t="shared" si="1"/>
        <v>6216198.2369999513</v>
      </c>
      <c r="K13" s="29">
        <f t="shared" si="1"/>
        <v>5539811.4299999513</v>
      </c>
      <c r="L13" s="29">
        <f t="shared" si="1"/>
        <v>4559847.6239999514</v>
      </c>
      <c r="M13" s="29">
        <f t="shared" si="1"/>
        <v>3401772.0639999514</v>
      </c>
      <c r="N13" s="29">
        <f t="shared" si="1"/>
        <v>2776772.0639999514</v>
      </c>
      <c r="O13" s="29">
        <f t="shared" si="1"/>
        <v>2151772.0639999514</v>
      </c>
      <c r="P13" s="29">
        <f t="shared" si="1"/>
        <v>1526772.0639999514</v>
      </c>
    </row>
    <row r="14" spans="2:18" ht="13.5" thickTop="1" x14ac:dyDescent="0.2"/>
    <row r="15" spans="2:18" x14ac:dyDescent="0.2">
      <c r="P15" s="30"/>
    </row>
    <row r="17" spans="2:16" x14ac:dyDescent="0.2">
      <c r="P17" s="30"/>
    </row>
    <row r="19" spans="2:16" x14ac:dyDescent="0.2">
      <c r="B19" s="2" t="s">
        <v>88</v>
      </c>
      <c r="P19" s="31"/>
    </row>
    <row r="20" spans="2:16" x14ac:dyDescent="0.2">
      <c r="B20" s="4"/>
      <c r="C20" s="5" t="s">
        <v>47</v>
      </c>
      <c r="D20" s="5"/>
      <c r="E20" s="6">
        <f>+E4</f>
        <v>42735</v>
      </c>
      <c r="F20" s="4"/>
    </row>
    <row r="21" spans="2:16" x14ac:dyDescent="0.2">
      <c r="C21" s="5" t="s">
        <v>83</v>
      </c>
      <c r="D21" s="5"/>
      <c r="E21" s="37">
        <f>+E5/140</f>
        <v>24978.584621428217</v>
      </c>
      <c r="F21" s="38">
        <f>+E29</f>
        <v>20990.711885713932</v>
      </c>
      <c r="G21" s="38">
        <f t="shared" ref="G21" si="2">+F29</f>
        <v>20847.139685713933</v>
      </c>
      <c r="H21" s="38">
        <f t="shared" ref="H21" si="3">+G29</f>
        <v>19930.490992856794</v>
      </c>
      <c r="I21" s="38">
        <f t="shared" ref="I21" si="4">+H29</f>
        <v>40508.685978571084</v>
      </c>
      <c r="J21" s="38">
        <f t="shared" ref="J21" si="5">+I29</f>
        <v>53194.335028571084</v>
      </c>
      <c r="K21" s="38">
        <f t="shared" ref="K21" si="6">+J29</f>
        <v>44401.415978571087</v>
      </c>
      <c r="L21" s="38">
        <f t="shared" ref="L21" si="7">+K29</f>
        <v>39570.0816428568</v>
      </c>
      <c r="M21" s="38">
        <f t="shared" ref="M21" si="8">+L29</f>
        <v>32570.34017142823</v>
      </c>
      <c r="N21" s="38">
        <f t="shared" ref="N21" si="9">+M29</f>
        <v>24298.371885713947</v>
      </c>
      <c r="O21" s="38">
        <f t="shared" ref="O21" si="10">+N29</f>
        <v>19834.086171428229</v>
      </c>
      <c r="P21" s="38">
        <f t="shared" ref="P21" si="11">+O29</f>
        <v>15369.800457142514</v>
      </c>
    </row>
    <row r="23" spans="2:16" x14ac:dyDescent="0.2">
      <c r="B23" s="71" t="s">
        <v>77</v>
      </c>
      <c r="C23" s="71"/>
      <c r="D23" s="32"/>
      <c r="E23" s="9">
        <f>+E7</f>
        <v>42736</v>
      </c>
      <c r="F23" s="9">
        <f t="shared" ref="F23:P23" si="12">+F7</f>
        <v>42767</v>
      </c>
      <c r="G23" s="9">
        <f t="shared" si="12"/>
        <v>42795</v>
      </c>
      <c r="H23" s="9">
        <f t="shared" si="12"/>
        <v>42826</v>
      </c>
      <c r="I23" s="9">
        <f t="shared" si="12"/>
        <v>42856</v>
      </c>
      <c r="J23" s="9">
        <f t="shared" si="12"/>
        <v>42887</v>
      </c>
      <c r="K23" s="9">
        <f t="shared" si="12"/>
        <v>42917</v>
      </c>
      <c r="L23" s="9">
        <f t="shared" si="12"/>
        <v>42948</v>
      </c>
      <c r="M23" s="9">
        <f t="shared" si="12"/>
        <v>42979</v>
      </c>
      <c r="N23" s="9">
        <f t="shared" si="12"/>
        <v>43009</v>
      </c>
      <c r="O23" s="9">
        <f t="shared" si="12"/>
        <v>43040</v>
      </c>
      <c r="P23" s="9">
        <f t="shared" si="12"/>
        <v>43070</v>
      </c>
    </row>
    <row r="24" spans="2:16" s="24" customFormat="1" x14ac:dyDescent="0.2">
      <c r="C24" s="24" t="s">
        <v>78</v>
      </c>
      <c r="D24" s="25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</row>
    <row r="25" spans="2:16" s="24" customFormat="1" x14ac:dyDescent="0.2">
      <c r="C25" s="24" t="s">
        <v>79</v>
      </c>
      <c r="D25" s="25"/>
      <c r="E25" s="34">
        <f>+E9/140</f>
        <v>6053.5535</v>
      </c>
      <c r="F25" s="34">
        <f>+F9/140</f>
        <v>7783.5251428571428</v>
      </c>
      <c r="G25" s="34">
        <f t="shared" ref="G25:P25" si="13">+G9/140</f>
        <v>15264.561714285715</v>
      </c>
      <c r="H25" s="34">
        <f t="shared" si="13"/>
        <v>27093.871642857142</v>
      </c>
      <c r="I25" s="34">
        <f t="shared" si="13"/>
        <v>32509.197999999997</v>
      </c>
      <c r="J25" s="34">
        <f t="shared" si="13"/>
        <v>8536.1189999999988</v>
      </c>
      <c r="K25" s="34">
        <f t="shared" si="13"/>
        <v>10944.892857142857</v>
      </c>
      <c r="L25" s="34">
        <f t="shared" si="13"/>
        <v>9151.5974999999999</v>
      </c>
      <c r="M25" s="34">
        <f t="shared" si="13"/>
        <v>7814.095214285715</v>
      </c>
      <c r="N25" s="34">
        <f t="shared" si="13"/>
        <v>10714.285714285714</v>
      </c>
      <c r="O25" s="34">
        <f t="shared" si="13"/>
        <v>10714.285714285714</v>
      </c>
      <c r="P25" s="34">
        <f t="shared" si="13"/>
        <v>10714.285714285714</v>
      </c>
    </row>
    <row r="26" spans="2:16" s="24" customFormat="1" x14ac:dyDescent="0.2">
      <c r="C26" s="24" t="s">
        <v>80</v>
      </c>
      <c r="D26" s="25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</row>
    <row r="27" spans="2:16" s="24" customFormat="1" x14ac:dyDescent="0.2">
      <c r="C27" s="24" t="s">
        <v>81</v>
      </c>
      <c r="D27" s="25"/>
      <c r="E27" s="34">
        <f>+E11/140</f>
        <v>-10041.426235714285</v>
      </c>
      <c r="F27" s="34">
        <f t="shared" ref="F27:P27" si="14">+F11/140</f>
        <v>-7927.0973428571433</v>
      </c>
      <c r="G27" s="34">
        <f t="shared" si="14"/>
        <v>-16181.210407142857</v>
      </c>
      <c r="H27" s="34">
        <f t="shared" si="14"/>
        <v>-6515.6766571428561</v>
      </c>
      <c r="I27" s="34">
        <f t="shared" si="14"/>
        <v>-19823.548949999997</v>
      </c>
      <c r="J27" s="34">
        <f t="shared" si="14"/>
        <v>-17329.038049999996</v>
      </c>
      <c r="K27" s="34">
        <f t="shared" si="14"/>
        <v>-15776.227192857143</v>
      </c>
      <c r="L27" s="34">
        <f t="shared" si="14"/>
        <v>-16151.338971428569</v>
      </c>
      <c r="M27" s="34">
        <f t="shared" si="14"/>
        <v>-16086.0635</v>
      </c>
      <c r="N27" s="34">
        <f t="shared" si="14"/>
        <v>-15178.571428571429</v>
      </c>
      <c r="O27" s="34">
        <f t="shared" si="14"/>
        <v>-15178.571428571429</v>
      </c>
      <c r="P27" s="34">
        <f t="shared" si="14"/>
        <v>-15178.571428571429</v>
      </c>
    </row>
    <row r="28" spans="2:16" s="24" customFormat="1" x14ac:dyDescent="0.2">
      <c r="C28" s="25" t="s">
        <v>82</v>
      </c>
      <c r="D28" s="2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</row>
    <row r="29" spans="2:16" ht="13.5" thickBot="1" x14ac:dyDescent="0.25">
      <c r="B29" s="75" t="s">
        <v>84</v>
      </c>
      <c r="C29" s="75"/>
      <c r="D29" s="33"/>
      <c r="E29" s="36">
        <f>+E21+SUM(E24:E28)</f>
        <v>20990.711885713932</v>
      </c>
      <c r="F29" s="36">
        <f t="shared" ref="F29:P29" si="15">+F21+SUM(F24:F28)</f>
        <v>20847.139685713933</v>
      </c>
      <c r="G29" s="36">
        <f t="shared" si="15"/>
        <v>19930.490992856794</v>
      </c>
      <c r="H29" s="36">
        <f t="shared" si="15"/>
        <v>40508.685978571084</v>
      </c>
      <c r="I29" s="36">
        <f t="shared" si="15"/>
        <v>53194.335028571084</v>
      </c>
      <c r="J29" s="36">
        <f t="shared" si="15"/>
        <v>44401.415978571087</v>
      </c>
      <c r="K29" s="36">
        <f t="shared" si="15"/>
        <v>39570.0816428568</v>
      </c>
      <c r="L29" s="36">
        <f t="shared" si="15"/>
        <v>32570.34017142823</v>
      </c>
      <c r="M29" s="36">
        <f t="shared" si="15"/>
        <v>24298.371885713947</v>
      </c>
      <c r="N29" s="36">
        <f t="shared" si="15"/>
        <v>19834.086171428229</v>
      </c>
      <c r="O29" s="36">
        <f t="shared" si="15"/>
        <v>15369.800457142514</v>
      </c>
      <c r="P29" s="36">
        <f t="shared" si="15"/>
        <v>10905.514742856798</v>
      </c>
    </row>
    <row r="30" spans="2:16" ht="13.5" thickTop="1" x14ac:dyDescent="0.2"/>
    <row r="31" spans="2:16" x14ac:dyDescent="0.2">
      <c r="F31" s="40"/>
      <c r="L31" s="40"/>
    </row>
  </sheetData>
  <mergeCells count="5">
    <mergeCell ref="B7:C7"/>
    <mergeCell ref="B13:C13"/>
    <mergeCell ref="B3:E3"/>
    <mergeCell ref="B23:C23"/>
    <mergeCell ref="B29:C29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0" tint="-0.249977111117893"/>
  </sheetPr>
  <dimension ref="B1:P22"/>
  <sheetViews>
    <sheetView zoomScale="80" zoomScaleNormal="80" workbookViewId="0">
      <selection activeCell="L24" sqref="L24"/>
    </sheetView>
  </sheetViews>
  <sheetFormatPr defaultRowHeight="12.75" x14ac:dyDescent="0.2"/>
  <cols>
    <col min="1" max="2" width="3.7109375" style="2" customWidth="1"/>
    <col min="3" max="3" width="40.85546875" style="2" bestFit="1" customWidth="1"/>
    <col min="4" max="4" width="3.7109375" style="2" customWidth="1"/>
    <col min="5" max="16" width="12.7109375" style="2" customWidth="1"/>
    <col min="17" max="16384" width="9.140625" style="2"/>
  </cols>
  <sheetData>
    <row r="1" spans="2:16" x14ac:dyDescent="0.2">
      <c r="B1" s="1"/>
      <c r="C1" s="1"/>
      <c r="D1" s="1"/>
      <c r="E1" s="1"/>
    </row>
    <row r="2" spans="2:16" x14ac:dyDescent="0.2">
      <c r="B2" s="3" t="s">
        <v>90</v>
      </c>
      <c r="C2" s="3"/>
      <c r="D2" s="3"/>
      <c r="E2" s="3"/>
    </row>
    <row r="3" spans="2:16" x14ac:dyDescent="0.2">
      <c r="B3" s="76"/>
      <c r="C3" s="76"/>
      <c r="D3" s="76"/>
      <c r="E3" s="76"/>
    </row>
    <row r="4" spans="2:16" x14ac:dyDescent="0.2">
      <c r="B4" s="4"/>
      <c r="C4" s="5" t="s">
        <v>47</v>
      </c>
      <c r="D4" s="5"/>
      <c r="E4" s="6">
        <v>42735</v>
      </c>
      <c r="F4" s="4"/>
    </row>
    <row r="5" spans="2:16" x14ac:dyDescent="0.2">
      <c r="C5" s="5" t="s">
        <v>93</v>
      </c>
      <c r="D5" s="5"/>
      <c r="E5" s="43">
        <v>11271.620000001043</v>
      </c>
      <c r="F5" s="26">
        <f>+IF(E14&gt;0,E14,0)</f>
        <v>0</v>
      </c>
      <c r="G5" s="26">
        <f t="shared" ref="G5:P5" si="0">+IF(F14&gt;0,F14,0)</f>
        <v>0</v>
      </c>
      <c r="H5" s="26">
        <f t="shared" si="0"/>
        <v>0</v>
      </c>
      <c r="I5" s="26">
        <f t="shared" si="0"/>
        <v>549220.80999999994</v>
      </c>
      <c r="J5" s="26">
        <f t="shared" si="0"/>
        <v>821189.01399999985</v>
      </c>
      <c r="K5" s="26">
        <f t="shared" si="0"/>
        <v>510915.0459999998</v>
      </c>
      <c r="L5" s="26">
        <f t="shared" si="0"/>
        <v>282762.16399999982</v>
      </c>
      <c r="M5" s="26">
        <f t="shared" si="0"/>
        <v>0</v>
      </c>
      <c r="N5" s="26">
        <f t="shared" si="0"/>
        <v>0</v>
      </c>
      <c r="O5" s="26">
        <f t="shared" si="0"/>
        <v>0</v>
      </c>
      <c r="P5" s="26">
        <f t="shared" si="0"/>
        <v>0</v>
      </c>
    </row>
    <row r="7" spans="2:16" x14ac:dyDescent="0.2">
      <c r="B7" s="71" t="s">
        <v>77</v>
      </c>
      <c r="C7" s="71"/>
      <c r="D7" s="32"/>
      <c r="E7" s="9">
        <v>42736</v>
      </c>
      <c r="F7" s="9">
        <v>42767</v>
      </c>
      <c r="G7" s="9">
        <v>42795</v>
      </c>
      <c r="H7" s="9">
        <v>42826</v>
      </c>
      <c r="I7" s="9">
        <v>42856</v>
      </c>
      <c r="J7" s="9">
        <v>42887</v>
      </c>
      <c r="K7" s="9">
        <v>42917</v>
      </c>
      <c r="L7" s="9">
        <v>42948</v>
      </c>
      <c r="M7" s="9">
        <v>42979</v>
      </c>
      <c r="N7" s="9">
        <v>43009</v>
      </c>
      <c r="O7" s="9">
        <v>43040</v>
      </c>
      <c r="P7" s="9">
        <v>43070</v>
      </c>
    </row>
    <row r="8" spans="2:16" s="24" customFormat="1" x14ac:dyDescent="0.2">
      <c r="C8" s="24" t="s">
        <v>79</v>
      </c>
      <c r="D8" s="25"/>
      <c r="E8" s="27">
        <f>-('P&amp;L'!H27+'P&amp;L'!H28+'P&amp;L'!H29+'P&amp;L'!H30+'P&amp;L'!H37)*0.2</f>
        <v>0</v>
      </c>
      <c r="F8" s="27">
        <f>-('P&amp;L'!I27+'P&amp;L'!I28+'P&amp;L'!I29+'P&amp;L'!I30+'P&amp;L'!I37)*0.2</f>
        <v>0</v>
      </c>
      <c r="G8" s="27">
        <f>-('P&amp;L'!J27+'P&amp;L'!J28+'P&amp;L'!J29+'P&amp;L'!J30+'P&amp;L'!J37)*0.2</f>
        <v>0</v>
      </c>
      <c r="H8" s="27">
        <f>-('P&amp;L'!K27+'P&amp;L'!K28+'P&amp;L'!K29+'P&amp;L'!K30+'P&amp;L'!K37)*0.2</f>
        <v>8000</v>
      </c>
      <c r="I8" s="27">
        <f>-('P&amp;L'!L27+'P&amp;L'!L28+'P&amp;L'!L29+'P&amp;L'!L30+'P&amp;L'!L37)*0.2</f>
        <v>0</v>
      </c>
      <c r="J8" s="27">
        <f>-('P&amp;L'!M27+'P&amp;L'!M28+'P&amp;L'!M29+'P&amp;L'!M30+'P&amp;L'!M37)*0.2</f>
        <v>0</v>
      </c>
      <c r="K8" s="27">
        <f>-('P&amp;L'!N27+'P&amp;L'!N28+'P&amp;L'!N29+'P&amp;L'!N30+'P&amp;L'!N37)*0.2</f>
        <v>128.52000000000001</v>
      </c>
      <c r="L8" s="27">
        <f>-('P&amp;L'!O27+'P&amp;L'!O28+'P&amp;L'!O29+'P&amp;L'!O30+'P&amp;L'!O37)*0.2</f>
        <v>0</v>
      </c>
      <c r="M8" s="27">
        <f>-('P&amp;L'!P27+'P&amp;L'!P28+'P&amp;L'!P29+'P&amp;L'!P30+'P&amp;L'!P37)*0.2</f>
        <v>6364.5</v>
      </c>
      <c r="N8" s="27">
        <f>-('P&amp;L'!Q27+'P&amp;L'!Q28+'P&amp;L'!Q29+'P&amp;L'!Q30+'P&amp;L'!Q37)*0.2</f>
        <v>2000</v>
      </c>
      <c r="O8" s="27">
        <f>-('P&amp;L'!R27+'P&amp;L'!R28+'P&amp;L'!R29+'P&amp;L'!R30+'P&amp;L'!R37)*0.2</f>
        <v>2000</v>
      </c>
      <c r="P8" s="27">
        <f>-('P&amp;L'!S27+'P&amp;L'!S28+'P&amp;L'!S29+'P&amp;L'!S30+'P&amp;L'!S37)*0.2</f>
        <v>2000</v>
      </c>
    </row>
    <row r="9" spans="2:16" s="24" customFormat="1" x14ac:dyDescent="0.2">
      <c r="C9" s="24" t="s">
        <v>77</v>
      </c>
      <c r="D9" s="25"/>
      <c r="E9" s="27">
        <f>+Inventories!E9*0.2</f>
        <v>169499.49800000002</v>
      </c>
      <c r="F9" s="27">
        <f>+Inventories!F9*0.2</f>
        <v>217938.70400000003</v>
      </c>
      <c r="G9" s="27">
        <f>+Inventories!G9*0.2</f>
        <v>427407.72800000006</v>
      </c>
      <c r="H9" s="27">
        <f>+Inventories!H9*0.2</f>
        <v>758628.40599999996</v>
      </c>
      <c r="I9" s="27">
        <f>+Inventories!I9*0.2</f>
        <v>910257.54399999999</v>
      </c>
      <c r="J9" s="27">
        <f>+Inventories!J9*0.2</f>
        <v>239011.33199999999</v>
      </c>
      <c r="K9" s="27">
        <f>+Inventories!K9*0.2</f>
        <v>306457</v>
      </c>
      <c r="L9" s="27">
        <f>+Inventories!L9*0.2</f>
        <v>256244.72999999998</v>
      </c>
      <c r="M9" s="27">
        <f>+Inventories!M9*0.2</f>
        <v>218794.66600000003</v>
      </c>
      <c r="N9" s="27">
        <f>+Inventories!N9*0.2</f>
        <v>300000</v>
      </c>
      <c r="O9" s="27">
        <f>+Inventories!O9*0.2</f>
        <v>300000</v>
      </c>
      <c r="P9" s="27">
        <f>+Inventories!P9*0.2</f>
        <v>300000</v>
      </c>
    </row>
    <row r="10" spans="2:16" s="24" customFormat="1" x14ac:dyDescent="0.2">
      <c r="C10" s="24" t="s">
        <v>91</v>
      </c>
      <c r="D10" s="25"/>
      <c r="E10" s="27">
        <v>59080</v>
      </c>
      <c r="F10" s="27">
        <v>38365</v>
      </c>
      <c r="G10" s="27"/>
      <c r="H10" s="27"/>
      <c r="I10" s="27"/>
      <c r="J10" s="27">
        <v>5041</v>
      </c>
      <c r="K10" s="27"/>
      <c r="L10" s="27"/>
      <c r="M10" s="27"/>
      <c r="N10" s="27"/>
      <c r="O10" s="27"/>
      <c r="P10" s="27"/>
    </row>
    <row r="11" spans="2:16" s="24" customFormat="1" x14ac:dyDescent="0.2">
      <c r="D11" s="25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</row>
    <row r="12" spans="2:16" s="24" customFormat="1" x14ac:dyDescent="0.2">
      <c r="C12" s="24" t="s">
        <v>92</v>
      </c>
      <c r="D12" s="25"/>
      <c r="E12" s="39">
        <f>(-'P&amp;L'!H17+'P&amp;L'!H10)*20%</f>
        <v>-344848.54800000001</v>
      </c>
      <c r="F12" s="39">
        <f>(-'P&amp;L'!I17+'P&amp;L'!I10)*20%</f>
        <v>-265856.66400000005</v>
      </c>
      <c r="G12" s="39">
        <f>(-'P&amp;L'!J17+'P&amp;L'!J10)*20%</f>
        <v>-525897.66600000008</v>
      </c>
      <c r="H12" s="39">
        <f>(-'P&amp;L'!K17+'P&amp;L'!K10)*20%</f>
        <v>-217407.59600000002</v>
      </c>
      <c r="I12" s="39">
        <f>(-'P&amp;L'!L17+'P&amp;L'!L10)*20%</f>
        <v>-638289.34000000008</v>
      </c>
      <c r="J12" s="39">
        <f>(-'P&amp;L'!M17+'P&amp;L'!M10)*20%</f>
        <v>-554326.30000000005</v>
      </c>
      <c r="K12" s="39">
        <f>(-'P&amp;L'!N17+'P&amp;L'!N10)*20%</f>
        <v>-534738.402</v>
      </c>
      <c r="L12" s="39">
        <f>(-'P&amp;L'!O17+'P&amp;L'!O10)*20%</f>
        <v>-553060.99400000006</v>
      </c>
      <c r="M12" s="39">
        <f>(-'P&amp;L'!P17+'P&amp;L'!P10)*20%</f>
        <v>-457396.65599999996</v>
      </c>
      <c r="N12" s="39">
        <f>(-'P&amp;L'!Q17+'P&amp;L'!Q10)*20%</f>
        <v>-500000</v>
      </c>
      <c r="O12" s="39">
        <f>(-'P&amp;L'!R17+'P&amp;L'!R10)*20%</f>
        <v>-500000</v>
      </c>
      <c r="P12" s="39">
        <f>(-'P&amp;L'!S17+'P&amp;L'!S10)*20%</f>
        <v>-500000</v>
      </c>
    </row>
    <row r="13" spans="2:16" s="24" customFormat="1" x14ac:dyDescent="0.2">
      <c r="C13" s="25" t="s">
        <v>91</v>
      </c>
      <c r="D13" s="25"/>
      <c r="E13" s="39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2:16" ht="13.5" thickBot="1" x14ac:dyDescent="0.25">
      <c r="B14" s="75" t="s">
        <v>94</v>
      </c>
      <c r="C14" s="75"/>
      <c r="D14" s="33"/>
      <c r="E14" s="29">
        <f>+E5+SUM(E8:E13)</f>
        <v>-104997.42999999895</v>
      </c>
      <c r="F14" s="29">
        <f t="shared" ref="F14:P14" si="1">+F5+SUM(F8:F13)</f>
        <v>-9552.960000000021</v>
      </c>
      <c r="G14" s="29">
        <f t="shared" si="1"/>
        <v>-98489.938000000024</v>
      </c>
      <c r="H14" s="29">
        <f t="shared" si="1"/>
        <v>549220.80999999994</v>
      </c>
      <c r="I14" s="29">
        <f t="shared" si="1"/>
        <v>821189.01399999985</v>
      </c>
      <c r="J14" s="29">
        <f t="shared" si="1"/>
        <v>510915.0459999998</v>
      </c>
      <c r="K14" s="29">
        <f t="shared" si="1"/>
        <v>282762.16399999982</v>
      </c>
      <c r="L14" s="29">
        <f t="shared" si="1"/>
        <v>-14054.100000000268</v>
      </c>
      <c r="M14" s="29">
        <f t="shared" si="1"/>
        <v>-232237.48999999993</v>
      </c>
      <c r="N14" s="29">
        <f t="shared" si="1"/>
        <v>-198000</v>
      </c>
      <c r="O14" s="29">
        <f t="shared" si="1"/>
        <v>-198000</v>
      </c>
      <c r="P14" s="29">
        <f t="shared" si="1"/>
        <v>-198000</v>
      </c>
    </row>
    <row r="15" spans="2:16" ht="13.5" thickTop="1" x14ac:dyDescent="0.2"/>
    <row r="16" spans="2:16" x14ac:dyDescent="0.2">
      <c r="B16" s="2" t="s">
        <v>121</v>
      </c>
      <c r="E16" s="30">
        <f>+IF(E14&lt;0,E14,"NO")</f>
        <v>-104997.42999999895</v>
      </c>
      <c r="F16" s="30">
        <f t="shared" ref="F16:P16" si="2">+IF(F14&lt;0,F14,"NO")</f>
        <v>-9552.960000000021</v>
      </c>
      <c r="G16" s="30">
        <f t="shared" si="2"/>
        <v>-98489.938000000024</v>
      </c>
      <c r="H16" s="30" t="str">
        <f t="shared" si="2"/>
        <v>NO</v>
      </c>
      <c r="I16" s="30" t="str">
        <f t="shared" si="2"/>
        <v>NO</v>
      </c>
      <c r="J16" s="30" t="str">
        <f t="shared" si="2"/>
        <v>NO</v>
      </c>
      <c r="K16" s="30" t="str">
        <f t="shared" si="2"/>
        <v>NO</v>
      </c>
      <c r="L16" s="30">
        <f t="shared" si="2"/>
        <v>-14054.100000000268</v>
      </c>
      <c r="M16" s="30">
        <f t="shared" si="2"/>
        <v>-232237.48999999993</v>
      </c>
      <c r="N16" s="30">
        <f t="shared" si="2"/>
        <v>-198000</v>
      </c>
      <c r="O16" s="30">
        <f t="shared" si="2"/>
        <v>-198000</v>
      </c>
      <c r="P16" s="30">
        <f t="shared" si="2"/>
        <v>-198000</v>
      </c>
    </row>
    <row r="18" spans="2:16" x14ac:dyDescent="0.2">
      <c r="B18" s="2" t="s">
        <v>162</v>
      </c>
      <c r="E18" s="31">
        <f>-SUM(E16:P16)</f>
        <v>1053331.9179999991</v>
      </c>
      <c r="P18" s="30"/>
    </row>
    <row r="20" spans="2:16" x14ac:dyDescent="0.2">
      <c r="B20" s="2" t="s">
        <v>163</v>
      </c>
      <c r="E20" s="31">
        <f>+'P&amp;L'!T17</f>
        <v>30899391.830000002</v>
      </c>
      <c r="J20" s="48"/>
    </row>
    <row r="21" spans="2:16" x14ac:dyDescent="0.2">
      <c r="E21" s="31"/>
      <c r="F21" s="31"/>
    </row>
    <row r="22" spans="2:16" x14ac:dyDescent="0.2">
      <c r="B22" s="2" t="s">
        <v>164</v>
      </c>
      <c r="E22" s="56">
        <f>+E18/E20</f>
        <v>3.4089082522890515E-2</v>
      </c>
    </row>
  </sheetData>
  <mergeCells count="3">
    <mergeCell ref="B3:E3"/>
    <mergeCell ref="B7:C7"/>
    <mergeCell ref="B14:C14"/>
  </mergeCells>
  <conditionalFormatting sqref="E5:P5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AI3"/>
  <sheetViews>
    <sheetView workbookViewId="0">
      <selection activeCell="AI4" sqref="AI4"/>
    </sheetView>
  </sheetViews>
  <sheetFormatPr defaultRowHeight="12.75" outlineLevelCol="1" x14ac:dyDescent="0.2"/>
  <cols>
    <col min="1" max="1" width="5.7109375" style="53" customWidth="1"/>
    <col min="2" max="2" width="17.7109375" style="53" bestFit="1" customWidth="1"/>
    <col min="3" max="10" width="2.7109375" style="53" customWidth="1"/>
    <col min="11" max="14" width="2.7109375" style="53" customWidth="1" outlineLevel="1"/>
    <col min="15" max="17" width="2.7109375" style="53" customWidth="1"/>
    <col min="18" max="18" width="7.85546875" style="53" customWidth="1"/>
    <col min="19" max="20" width="9.28515625" style="53" customWidth="1"/>
    <col min="21" max="22" width="9.7109375" style="53" customWidth="1"/>
    <col min="23" max="23" width="10.28515625" style="53" customWidth="1"/>
    <col min="24" max="24" width="9.7109375" style="53" customWidth="1"/>
    <col min="25" max="25" width="10.28515625" style="53" customWidth="1"/>
    <col min="26" max="26" width="10.28515625" style="59" customWidth="1"/>
    <col min="27" max="27" width="2.7109375" style="60" customWidth="1"/>
    <col min="28" max="28" width="9.7109375" style="53" customWidth="1"/>
    <col min="29" max="29" width="7.85546875" style="53" customWidth="1"/>
    <col min="30" max="30" width="8.28515625" style="53" customWidth="1"/>
    <col min="31" max="31" width="9.7109375" style="53" customWidth="1"/>
    <col min="32" max="32" width="8.7109375" style="53" customWidth="1"/>
    <col min="33" max="34" width="9.7109375" style="53" customWidth="1"/>
    <col min="35" max="16384" width="9.140625" style="53"/>
  </cols>
  <sheetData>
    <row r="1" spans="1:35" x14ac:dyDescent="0.2">
      <c r="AB1" s="61">
        <v>0.1</v>
      </c>
      <c r="AC1" s="61">
        <v>0.05</v>
      </c>
    </row>
    <row r="2" spans="1:35" ht="229.5" x14ac:dyDescent="0.2">
      <c r="A2" s="53" t="s">
        <v>170</v>
      </c>
      <c r="B2" s="53" t="s">
        <v>171</v>
      </c>
      <c r="C2" s="53" t="s">
        <v>172</v>
      </c>
      <c r="D2" s="53" t="s">
        <v>173</v>
      </c>
      <c r="E2" s="53" t="s">
        <v>174</v>
      </c>
      <c r="G2" s="62" t="s">
        <v>175</v>
      </c>
      <c r="H2" s="62" t="s">
        <v>176</v>
      </c>
      <c r="I2" s="62" t="s">
        <v>177</v>
      </c>
      <c r="J2" s="62" t="s">
        <v>178</v>
      </c>
      <c r="K2" s="62" t="s">
        <v>179</v>
      </c>
      <c r="L2" s="62" t="s">
        <v>180</v>
      </c>
      <c r="M2" s="62" t="s">
        <v>181</v>
      </c>
      <c r="N2" s="62" t="s">
        <v>180</v>
      </c>
      <c r="O2" s="62"/>
      <c r="P2" s="62" t="s">
        <v>182</v>
      </c>
      <c r="R2" s="53">
        <v>2009</v>
      </c>
      <c r="S2" s="53">
        <v>2010</v>
      </c>
      <c r="T2" s="53">
        <v>2011</v>
      </c>
      <c r="U2" s="53">
        <v>2012</v>
      </c>
      <c r="V2" s="53">
        <v>2013</v>
      </c>
      <c r="W2" s="53">
        <v>2014</v>
      </c>
      <c r="X2" s="53">
        <v>2015</v>
      </c>
      <c r="Y2" s="53">
        <v>2016</v>
      </c>
      <c r="Z2" s="59" t="s">
        <v>183</v>
      </c>
      <c r="AB2" s="62" t="s">
        <v>184</v>
      </c>
      <c r="AC2" s="62" t="s">
        <v>185</v>
      </c>
      <c r="AD2" s="62" t="s">
        <v>186</v>
      </c>
      <c r="AE2" s="62" t="s">
        <v>187</v>
      </c>
      <c r="AF2" s="62" t="s">
        <v>188</v>
      </c>
      <c r="AG2" s="62" t="s">
        <v>189</v>
      </c>
      <c r="AH2" s="53" t="s">
        <v>190</v>
      </c>
      <c r="AI2" s="53" t="s">
        <v>191</v>
      </c>
    </row>
    <row r="3" spans="1:35" x14ac:dyDescent="0.2">
      <c r="A3" s="53">
        <v>19</v>
      </c>
      <c r="B3" s="53" t="s">
        <v>196</v>
      </c>
      <c r="C3" s="53" t="s">
        <v>197</v>
      </c>
      <c r="D3" s="53" t="s">
        <v>192</v>
      </c>
      <c r="E3" s="53" t="s">
        <v>193</v>
      </c>
      <c r="G3" s="64" t="s">
        <v>194</v>
      </c>
      <c r="H3" s="64" t="s">
        <v>194</v>
      </c>
      <c r="I3" s="64" t="s">
        <v>194</v>
      </c>
      <c r="J3" s="64" t="s">
        <v>194</v>
      </c>
      <c r="K3" s="52" t="s">
        <v>198</v>
      </c>
      <c r="L3" s="52" t="s">
        <v>195</v>
      </c>
      <c r="M3" s="52" t="s">
        <v>197</v>
      </c>
      <c r="N3" s="52" t="s">
        <v>195</v>
      </c>
      <c r="R3" s="54"/>
      <c r="S3" s="54"/>
      <c r="T3" s="54">
        <v>1187647.2800000005</v>
      </c>
      <c r="U3" s="54">
        <v>-2077087.2299999995</v>
      </c>
      <c r="V3" s="54">
        <v>-458922</v>
      </c>
      <c r="W3" s="54">
        <v>129297.5378999188</v>
      </c>
      <c r="X3" s="54">
        <v>354149.7997499968</v>
      </c>
      <c r="Y3" s="54">
        <v>5716423.2382499222</v>
      </c>
      <c r="Z3" s="67">
        <f>SUM(R3:Y3)</f>
        <v>4851508.6258998383</v>
      </c>
      <c r="AA3" s="65"/>
      <c r="AB3" s="54"/>
      <c r="AC3" s="54"/>
      <c r="AD3" s="54"/>
      <c r="AE3" s="66">
        <v>0</v>
      </c>
      <c r="AF3" s="54">
        <v>100000</v>
      </c>
      <c r="AH3" s="54">
        <v>13959019</v>
      </c>
      <c r="AI3" s="63">
        <v>0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52"/>
  <sheetViews>
    <sheetView zoomScale="85" zoomScaleNormal="85" workbookViewId="0">
      <selection activeCell="C32" sqref="C32"/>
    </sheetView>
  </sheetViews>
  <sheetFormatPr defaultColWidth="9.140625" defaultRowHeight="12.75" x14ac:dyDescent="0.2"/>
  <cols>
    <col min="1" max="1" width="18" style="52" bestFit="1" customWidth="1"/>
    <col min="2" max="2" width="11.7109375" style="52" bestFit="1" customWidth="1"/>
    <col min="3" max="3" width="35.140625" style="52" bestFit="1" customWidth="1"/>
    <col min="4" max="12" width="9.85546875" style="55" bestFit="1" customWidth="1"/>
    <col min="13" max="15" width="9.140625" style="55" customWidth="1"/>
    <col min="16" max="16" width="9.85546875" style="52" bestFit="1" customWidth="1"/>
    <col min="17" max="16384" width="9.140625" style="52"/>
  </cols>
  <sheetData>
    <row r="1" spans="1:15" x14ac:dyDescent="0.2">
      <c r="A1" s="53" t="s">
        <v>95</v>
      </c>
      <c r="B1" s="53" t="s">
        <v>96</v>
      </c>
      <c r="C1" s="53" t="s">
        <v>97</v>
      </c>
      <c r="D1" s="54" t="s">
        <v>98</v>
      </c>
      <c r="E1" s="54" t="s">
        <v>99</v>
      </c>
      <c r="F1" s="54" t="s">
        <v>100</v>
      </c>
      <c r="G1" s="54" t="s">
        <v>101</v>
      </c>
      <c r="H1" s="54" t="s">
        <v>102</v>
      </c>
      <c r="I1" s="54" t="s">
        <v>103</v>
      </c>
      <c r="J1" s="54" t="s">
        <v>104</v>
      </c>
      <c r="K1" s="54" t="s">
        <v>105</v>
      </c>
      <c r="L1" s="54" t="s">
        <v>106</v>
      </c>
      <c r="M1" s="54" t="s">
        <v>107</v>
      </c>
      <c r="N1" s="54" t="s">
        <v>108</v>
      </c>
      <c r="O1" s="54" t="s">
        <v>109</v>
      </c>
    </row>
    <row r="2" spans="1:15" x14ac:dyDescent="0.2">
      <c r="A2" s="53"/>
      <c r="B2" s="53">
        <v>2188</v>
      </c>
      <c r="C2" s="53" t="s">
        <v>118</v>
      </c>
      <c r="D2" s="54">
        <v>0</v>
      </c>
      <c r="E2" s="54">
        <v>0</v>
      </c>
      <c r="F2" s="54">
        <v>0</v>
      </c>
      <c r="G2" s="54">
        <v>0</v>
      </c>
      <c r="H2" s="54">
        <v>0</v>
      </c>
      <c r="I2" s="54">
        <v>0</v>
      </c>
      <c r="J2" s="54">
        <v>39712.67</v>
      </c>
      <c r="K2" s="54">
        <v>0</v>
      </c>
      <c r="L2" s="54">
        <v>0</v>
      </c>
      <c r="M2" s="54">
        <v>0</v>
      </c>
      <c r="N2" s="54">
        <v>0</v>
      </c>
      <c r="O2" s="54">
        <v>0</v>
      </c>
    </row>
    <row r="3" spans="1:15" x14ac:dyDescent="0.2">
      <c r="A3" s="53"/>
      <c r="B3" s="53">
        <v>351</v>
      </c>
      <c r="C3" s="53" t="s">
        <v>122</v>
      </c>
      <c r="D3" s="54">
        <v>-558302.18299999996</v>
      </c>
      <c r="E3" s="54">
        <v>-20100.108</v>
      </c>
      <c r="F3" s="54">
        <v>-128330.817</v>
      </c>
      <c r="G3" s="54">
        <v>2880947.298</v>
      </c>
      <c r="H3" s="54">
        <v>1775990.8670000001</v>
      </c>
      <c r="I3" s="54">
        <v>-1231008.6669999999</v>
      </c>
      <c r="J3" s="54">
        <v>-676386.80700000003</v>
      </c>
      <c r="K3" s="54">
        <v>-979963.80599999998</v>
      </c>
      <c r="L3" s="54">
        <v>-1158075.56</v>
      </c>
      <c r="M3" s="54">
        <v>0</v>
      </c>
      <c r="N3" s="54">
        <v>0</v>
      </c>
      <c r="O3" s="54">
        <v>0</v>
      </c>
    </row>
    <row r="4" spans="1:15" x14ac:dyDescent="0.2">
      <c r="A4" s="53"/>
      <c r="B4" s="53">
        <v>401</v>
      </c>
      <c r="C4" s="53" t="s">
        <v>110</v>
      </c>
      <c r="D4" s="54">
        <v>-557218.87</v>
      </c>
      <c r="E4" s="54">
        <v>-199800.94</v>
      </c>
      <c r="F4" s="54">
        <v>1207696.6399999999</v>
      </c>
      <c r="G4" s="54">
        <v>-3236766</v>
      </c>
      <c r="H4" s="54">
        <v>2956404.32</v>
      </c>
      <c r="I4" s="54">
        <v>-685328.95</v>
      </c>
      <c r="J4" s="54">
        <v>-1287258</v>
      </c>
      <c r="K4" s="54">
        <v>-708118</v>
      </c>
      <c r="L4" s="54">
        <v>-922362</v>
      </c>
      <c r="M4" s="54">
        <v>0</v>
      </c>
      <c r="N4" s="54">
        <v>0</v>
      </c>
      <c r="O4" s="54">
        <v>0</v>
      </c>
    </row>
    <row r="5" spans="1:15" x14ac:dyDescent="0.2">
      <c r="A5" s="53"/>
      <c r="B5" s="53">
        <v>411</v>
      </c>
      <c r="C5" s="53" t="s">
        <v>111</v>
      </c>
      <c r="D5" s="54">
        <v>612087</v>
      </c>
      <c r="E5" s="54">
        <v>303806</v>
      </c>
      <c r="F5" s="54">
        <v>-745397.48</v>
      </c>
      <c r="G5" s="54">
        <v>259350</v>
      </c>
      <c r="H5" s="54">
        <v>205350</v>
      </c>
      <c r="I5" s="54">
        <v>-5461663.7999999998</v>
      </c>
      <c r="J5" s="54">
        <v>1085930</v>
      </c>
      <c r="K5" s="54">
        <v>1244330</v>
      </c>
      <c r="L5" s="54">
        <v>1373054</v>
      </c>
      <c r="M5" s="54">
        <v>0</v>
      </c>
      <c r="N5" s="54">
        <v>0</v>
      </c>
      <c r="O5" s="54">
        <v>0</v>
      </c>
    </row>
    <row r="6" spans="1:15" x14ac:dyDescent="0.2">
      <c r="A6" s="53"/>
      <c r="B6" s="53">
        <v>421</v>
      </c>
      <c r="C6" s="53" t="s">
        <v>112</v>
      </c>
      <c r="D6" s="54">
        <v>-147642</v>
      </c>
      <c r="E6" s="54">
        <v>-2</v>
      </c>
      <c r="F6" s="54">
        <v>-38360</v>
      </c>
      <c r="G6" s="54">
        <v>-170616</v>
      </c>
      <c r="H6" s="54">
        <v>-5385</v>
      </c>
      <c r="I6" s="54">
        <v>-21502</v>
      </c>
      <c r="J6" s="54">
        <v>-197502</v>
      </c>
      <c r="K6" s="54">
        <v>-197502</v>
      </c>
      <c r="L6" s="54">
        <v>-197502</v>
      </c>
      <c r="M6" s="54">
        <v>0</v>
      </c>
      <c r="N6" s="54">
        <v>0</v>
      </c>
      <c r="O6" s="54">
        <v>0</v>
      </c>
    </row>
    <row r="7" spans="1:15" x14ac:dyDescent="0.2">
      <c r="A7" s="53"/>
      <c r="B7" s="53">
        <v>431</v>
      </c>
      <c r="C7" s="53" t="s">
        <v>113</v>
      </c>
      <c r="D7" s="54">
        <v>0</v>
      </c>
      <c r="E7" s="54">
        <v>0</v>
      </c>
      <c r="F7" s="54">
        <v>-9506</v>
      </c>
      <c r="G7" s="54">
        <v>4834</v>
      </c>
      <c r="H7" s="54">
        <v>-3861</v>
      </c>
      <c r="I7" s="54">
        <v>-6755</v>
      </c>
      <c r="J7" s="54">
        <v>-61678</v>
      </c>
      <c r="K7" s="54">
        <v>-61678</v>
      </c>
      <c r="L7" s="54">
        <v>-61678</v>
      </c>
      <c r="M7" s="54">
        <v>0</v>
      </c>
      <c r="N7" s="54">
        <v>0</v>
      </c>
      <c r="O7" s="54">
        <v>0</v>
      </c>
    </row>
    <row r="8" spans="1:15" x14ac:dyDescent="0.2">
      <c r="A8" s="53"/>
      <c r="B8" s="53">
        <v>442</v>
      </c>
      <c r="C8" s="53" t="s">
        <v>153</v>
      </c>
      <c r="D8" s="54">
        <v>0</v>
      </c>
      <c r="E8" s="54">
        <v>0</v>
      </c>
      <c r="F8" s="54">
        <v>-1825</v>
      </c>
      <c r="G8" s="54">
        <v>0</v>
      </c>
      <c r="H8" s="54">
        <v>-127</v>
      </c>
      <c r="I8" s="54">
        <v>0</v>
      </c>
      <c r="J8" s="54">
        <v>-1951</v>
      </c>
      <c r="K8" s="54">
        <v>-1951</v>
      </c>
      <c r="L8" s="54">
        <v>-1951</v>
      </c>
      <c r="M8" s="54">
        <v>0</v>
      </c>
      <c r="N8" s="54">
        <v>0</v>
      </c>
      <c r="O8" s="54">
        <v>0</v>
      </c>
    </row>
    <row r="9" spans="1:15" x14ac:dyDescent="0.2">
      <c r="A9" s="53"/>
      <c r="B9" s="53">
        <v>444</v>
      </c>
      <c r="C9" s="53" t="s">
        <v>137</v>
      </c>
      <c r="D9" s="54">
        <v>0</v>
      </c>
      <c r="E9" s="54">
        <v>74015</v>
      </c>
      <c r="F9" s="54">
        <v>0</v>
      </c>
      <c r="G9" s="54">
        <v>0</v>
      </c>
      <c r="H9" s="54">
        <v>0</v>
      </c>
      <c r="I9" s="54">
        <v>249154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</row>
    <row r="10" spans="1:15" x14ac:dyDescent="0.2">
      <c r="A10" s="53"/>
      <c r="B10" s="53">
        <v>4453</v>
      </c>
      <c r="C10" s="53" t="s">
        <v>154</v>
      </c>
      <c r="D10" s="54">
        <v>0</v>
      </c>
      <c r="E10" s="54">
        <v>17435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54">
        <v>0</v>
      </c>
      <c r="N10" s="54">
        <v>0</v>
      </c>
      <c r="O10" s="54">
        <v>0</v>
      </c>
    </row>
    <row r="11" spans="1:15" x14ac:dyDescent="0.2">
      <c r="A11" s="53"/>
      <c r="B11" s="53">
        <v>4455</v>
      </c>
      <c r="C11" s="53" t="s">
        <v>130</v>
      </c>
      <c r="D11" s="54">
        <v>136299.51</v>
      </c>
      <c r="E11" s="54">
        <v>161222.67000000001</v>
      </c>
      <c r="F11" s="54">
        <v>224809.36</v>
      </c>
      <c r="G11" s="54">
        <v>670918.97</v>
      </c>
      <c r="H11" s="54">
        <v>647960.28</v>
      </c>
      <c r="I11" s="54">
        <v>225781.34</v>
      </c>
      <c r="J11" s="54">
        <v>272608.05</v>
      </c>
      <c r="K11" s="54">
        <v>170396.35</v>
      </c>
      <c r="L11" s="54">
        <v>216261.17</v>
      </c>
      <c r="M11" s="54">
        <v>0</v>
      </c>
      <c r="N11" s="54">
        <v>0</v>
      </c>
      <c r="O11" s="54">
        <v>0</v>
      </c>
    </row>
    <row r="12" spans="1:15" x14ac:dyDescent="0.2">
      <c r="A12" s="53"/>
      <c r="B12" s="53">
        <v>4456</v>
      </c>
      <c r="C12" s="53" t="s">
        <v>131</v>
      </c>
      <c r="D12" s="54">
        <v>-252568.48</v>
      </c>
      <c r="E12" s="54">
        <v>-170756.68</v>
      </c>
      <c r="F12" s="54">
        <v>-233175.01</v>
      </c>
      <c r="G12" s="54">
        <v>-184406.02</v>
      </c>
      <c r="H12" s="54">
        <v>-532759.30000000005</v>
      </c>
      <c r="I12" s="54">
        <v>-438632.7</v>
      </c>
      <c r="J12" s="54">
        <v>-442338.31</v>
      </c>
      <c r="K12" s="54">
        <v>-553061.03</v>
      </c>
      <c r="L12" s="54">
        <v>-376196.72</v>
      </c>
      <c r="M12" s="54">
        <v>0</v>
      </c>
      <c r="N12" s="54">
        <v>0</v>
      </c>
      <c r="O12" s="54">
        <v>0</v>
      </c>
    </row>
    <row r="13" spans="1:15" x14ac:dyDescent="0.2">
      <c r="A13" s="53"/>
      <c r="B13" s="53">
        <v>4457</v>
      </c>
      <c r="C13" s="53" t="s">
        <v>155</v>
      </c>
      <c r="D13" s="54">
        <v>0</v>
      </c>
      <c r="E13" s="54">
        <v>105565</v>
      </c>
      <c r="F13" s="54">
        <v>9533</v>
      </c>
      <c r="G13" s="54">
        <v>0</v>
      </c>
      <c r="H13" s="54">
        <v>7467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</row>
    <row r="14" spans="1:15" x14ac:dyDescent="0.2">
      <c r="A14" s="57"/>
      <c r="B14" s="53">
        <v>449</v>
      </c>
      <c r="C14" s="53" t="s">
        <v>140</v>
      </c>
      <c r="D14" s="54">
        <v>0</v>
      </c>
      <c r="E14" s="54">
        <v>0</v>
      </c>
      <c r="F14" s="54">
        <v>0</v>
      </c>
      <c r="G14" s="54">
        <v>0</v>
      </c>
      <c r="H14" s="54">
        <v>250000</v>
      </c>
      <c r="I14" s="54">
        <v>0</v>
      </c>
      <c r="J14" s="54">
        <v>-1500</v>
      </c>
      <c r="K14" s="54">
        <v>-1500</v>
      </c>
      <c r="L14" s="54">
        <v>0</v>
      </c>
      <c r="M14" s="54">
        <v>0</v>
      </c>
      <c r="N14" s="54">
        <v>0</v>
      </c>
      <c r="O14" s="54">
        <v>0</v>
      </c>
    </row>
    <row r="15" spans="1:15" x14ac:dyDescent="0.2">
      <c r="A15" s="53"/>
      <c r="B15" s="53">
        <v>4550003</v>
      </c>
      <c r="C15" s="53" t="s">
        <v>165</v>
      </c>
      <c r="D15" s="54">
        <v>339340</v>
      </c>
      <c r="E15" s="54">
        <v>0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</row>
    <row r="16" spans="1:15" x14ac:dyDescent="0.2">
      <c r="A16" s="57"/>
      <c r="B16" s="53">
        <v>467</v>
      </c>
      <c r="C16" s="53" t="s">
        <v>145</v>
      </c>
      <c r="D16" s="54">
        <v>-4612210</v>
      </c>
      <c r="E16" s="54">
        <v>-526510</v>
      </c>
      <c r="F16" s="54">
        <v>418552</v>
      </c>
      <c r="G16" s="54">
        <v>-699930</v>
      </c>
      <c r="H16" s="54">
        <v>-6103590</v>
      </c>
      <c r="I16" s="54">
        <v>8240310</v>
      </c>
      <c r="J16" s="54">
        <v>1718000</v>
      </c>
      <c r="K16" s="54">
        <v>1610000</v>
      </c>
      <c r="L16" s="54">
        <v>1083000</v>
      </c>
      <c r="M16" s="54">
        <v>0</v>
      </c>
      <c r="N16" s="54">
        <v>0</v>
      </c>
      <c r="O16" s="54">
        <v>0</v>
      </c>
    </row>
    <row r="17" spans="1:15" x14ac:dyDescent="0.2">
      <c r="A17" s="57"/>
      <c r="B17" s="53">
        <v>4681016</v>
      </c>
      <c r="C17" s="53" t="s">
        <v>166</v>
      </c>
      <c r="D17" s="54">
        <v>58995</v>
      </c>
      <c r="E17" s="54">
        <v>58995</v>
      </c>
      <c r="F17" s="54">
        <v>0</v>
      </c>
      <c r="G17" s="54">
        <v>117990</v>
      </c>
      <c r="H17" s="54">
        <v>58995</v>
      </c>
      <c r="I17" s="54">
        <v>58995</v>
      </c>
      <c r="J17" s="54">
        <v>0</v>
      </c>
      <c r="K17" s="54">
        <v>0</v>
      </c>
      <c r="L17" s="54">
        <v>0</v>
      </c>
      <c r="M17" s="54">
        <v>0</v>
      </c>
      <c r="N17" s="54">
        <v>0</v>
      </c>
      <c r="O17" s="54">
        <v>0</v>
      </c>
    </row>
    <row r="18" spans="1:15" x14ac:dyDescent="0.2">
      <c r="A18" s="53"/>
      <c r="B18" s="53">
        <v>4681017</v>
      </c>
      <c r="C18" s="53" t="s">
        <v>167</v>
      </c>
      <c r="D18" s="54">
        <v>31590</v>
      </c>
      <c r="E18" s="54">
        <v>31590</v>
      </c>
      <c r="F18" s="54">
        <v>0</v>
      </c>
      <c r="G18" s="54">
        <v>63180</v>
      </c>
      <c r="H18" s="54">
        <v>31590</v>
      </c>
      <c r="I18" s="54">
        <v>31590</v>
      </c>
      <c r="J18" s="54">
        <v>0</v>
      </c>
      <c r="K18" s="54">
        <v>0</v>
      </c>
      <c r="L18" s="54">
        <v>0</v>
      </c>
      <c r="M18" s="54">
        <v>0</v>
      </c>
      <c r="N18" s="54">
        <v>0</v>
      </c>
      <c r="O18" s="54">
        <v>0</v>
      </c>
    </row>
    <row r="19" spans="1:15" x14ac:dyDescent="0.2">
      <c r="A19" s="53"/>
      <c r="B19" s="53">
        <v>481</v>
      </c>
      <c r="C19" s="53" t="s">
        <v>156</v>
      </c>
      <c r="D19" s="54">
        <v>0</v>
      </c>
      <c r="E19" s="54">
        <v>17159.75</v>
      </c>
      <c r="F19" s="54">
        <v>0</v>
      </c>
      <c r="G19" s="54">
        <v>0</v>
      </c>
      <c r="H19" s="54">
        <v>0</v>
      </c>
      <c r="I19" s="54">
        <v>0</v>
      </c>
      <c r="J19" s="54">
        <v>0</v>
      </c>
      <c r="K19" s="54">
        <v>0</v>
      </c>
      <c r="L19" s="54">
        <v>0</v>
      </c>
      <c r="M19" s="54">
        <v>0</v>
      </c>
      <c r="N19" s="54">
        <v>0</v>
      </c>
      <c r="O19" s="54">
        <v>0</v>
      </c>
    </row>
    <row r="20" spans="1:15" x14ac:dyDescent="0.2">
      <c r="B20" s="53">
        <v>486</v>
      </c>
      <c r="C20" s="53" t="s">
        <v>199</v>
      </c>
      <c r="D20" s="54">
        <v>0</v>
      </c>
      <c r="E20" s="54">
        <v>0</v>
      </c>
      <c r="F20" s="54">
        <v>0</v>
      </c>
      <c r="G20" s="54">
        <v>0</v>
      </c>
      <c r="H20" s="54">
        <v>0</v>
      </c>
      <c r="I20" s="54">
        <v>0</v>
      </c>
      <c r="J20" s="54">
        <v>0</v>
      </c>
      <c r="K20" s="54">
        <v>0</v>
      </c>
      <c r="L20" s="54">
        <v>20000</v>
      </c>
      <c r="M20" s="54">
        <v>0</v>
      </c>
      <c r="N20" s="54">
        <v>0</v>
      </c>
      <c r="O20" s="54">
        <v>0</v>
      </c>
    </row>
    <row r="21" spans="1:15" x14ac:dyDescent="0.2">
      <c r="B21" s="53">
        <v>5121001</v>
      </c>
      <c r="C21" s="53" t="s">
        <v>128</v>
      </c>
      <c r="D21" s="54">
        <v>-3661.93</v>
      </c>
      <c r="E21" s="54">
        <v>5127</v>
      </c>
      <c r="F21" s="54">
        <v>6692.36</v>
      </c>
      <c r="G21" s="54">
        <v>-15989</v>
      </c>
      <c r="H21" s="54">
        <v>9334.68</v>
      </c>
      <c r="I21" s="54">
        <v>12102.15</v>
      </c>
      <c r="J21" s="54">
        <v>0</v>
      </c>
      <c r="K21" s="54">
        <v>0</v>
      </c>
      <c r="L21" s="54">
        <v>0</v>
      </c>
      <c r="M21" s="54">
        <v>0</v>
      </c>
      <c r="N21" s="54">
        <v>0</v>
      </c>
      <c r="O21" s="54">
        <v>0</v>
      </c>
    </row>
    <row r="22" spans="1:15" x14ac:dyDescent="0.2">
      <c r="B22" s="53">
        <v>5121002</v>
      </c>
      <c r="C22" s="53" t="s">
        <v>200</v>
      </c>
      <c r="D22" s="54">
        <v>-1936.08</v>
      </c>
      <c r="E22" s="54">
        <v>0</v>
      </c>
      <c r="F22" s="54">
        <v>0</v>
      </c>
      <c r="G22" s="54">
        <v>0</v>
      </c>
      <c r="H22" s="54">
        <v>0</v>
      </c>
      <c r="I22" s="54">
        <v>0</v>
      </c>
      <c r="J22" s="54">
        <v>0</v>
      </c>
      <c r="K22" s="54">
        <v>0</v>
      </c>
      <c r="L22" s="54">
        <v>0</v>
      </c>
      <c r="M22" s="54">
        <v>0</v>
      </c>
      <c r="N22" s="54">
        <v>0</v>
      </c>
      <c r="O22" s="54">
        <v>0</v>
      </c>
    </row>
    <row r="23" spans="1:15" x14ac:dyDescent="0.2">
      <c r="A23" s="57"/>
      <c r="B23" s="53">
        <v>5121005</v>
      </c>
      <c r="C23" s="53" t="s">
        <v>201</v>
      </c>
      <c r="D23" s="54">
        <v>151134.67000000001</v>
      </c>
      <c r="E23" s="54">
        <v>-145799</v>
      </c>
      <c r="F23" s="54">
        <v>21</v>
      </c>
      <c r="G23" s="54">
        <v>-799</v>
      </c>
      <c r="H23" s="54">
        <v>3453</v>
      </c>
      <c r="I23" s="54">
        <v>345000</v>
      </c>
      <c r="J23" s="54">
        <v>0</v>
      </c>
      <c r="K23" s="54">
        <v>0</v>
      </c>
      <c r="L23" s="54">
        <v>0</v>
      </c>
      <c r="M23" s="54">
        <v>0</v>
      </c>
      <c r="N23" s="54">
        <v>0</v>
      </c>
      <c r="O23" s="54">
        <v>0</v>
      </c>
    </row>
    <row r="24" spans="1:15" x14ac:dyDescent="0.2">
      <c r="B24" s="53">
        <v>5124101</v>
      </c>
      <c r="C24" s="53" t="s">
        <v>129</v>
      </c>
      <c r="D24" s="54">
        <v>-339.67</v>
      </c>
      <c r="E24" s="54">
        <v>162704.32999999999</v>
      </c>
      <c r="F24" s="54">
        <v>-148504.85200000001</v>
      </c>
      <c r="G24" s="54">
        <v>-7133.17</v>
      </c>
      <c r="H24" s="54">
        <v>-332.5</v>
      </c>
      <c r="I24" s="54">
        <v>52467.5</v>
      </c>
      <c r="J24" s="54">
        <v>0</v>
      </c>
      <c r="K24" s="54">
        <v>0</v>
      </c>
      <c r="L24" s="54">
        <v>0</v>
      </c>
      <c r="M24" s="54">
        <v>0</v>
      </c>
      <c r="N24" s="54">
        <v>0</v>
      </c>
      <c r="O24" s="54">
        <v>0</v>
      </c>
    </row>
    <row r="25" spans="1:15" x14ac:dyDescent="0.2">
      <c r="B25" s="53">
        <v>5124104</v>
      </c>
      <c r="C25" s="53" t="s">
        <v>168</v>
      </c>
      <c r="D25" s="54">
        <v>-3242.7</v>
      </c>
      <c r="E25" s="54">
        <v>7472.25</v>
      </c>
      <c r="F25" s="54">
        <v>-8633.25</v>
      </c>
      <c r="G25" s="54">
        <v>698.4</v>
      </c>
      <c r="H25" s="54">
        <v>-1713.8</v>
      </c>
      <c r="I25" s="54">
        <v>-1349.45</v>
      </c>
      <c r="J25" s="54">
        <v>0</v>
      </c>
      <c r="K25" s="54">
        <v>0</v>
      </c>
      <c r="L25" s="54">
        <v>0</v>
      </c>
      <c r="M25" s="54">
        <v>0</v>
      </c>
      <c r="N25" s="54">
        <v>0</v>
      </c>
      <c r="O25" s="54">
        <v>0</v>
      </c>
    </row>
    <row r="26" spans="1:15" x14ac:dyDescent="0.2">
      <c r="B26" s="53">
        <v>5124105</v>
      </c>
      <c r="C26" s="53" t="s">
        <v>202</v>
      </c>
      <c r="D26" s="54">
        <v>10901.25</v>
      </c>
      <c r="E26" s="54">
        <v>0</v>
      </c>
      <c r="F26" s="54">
        <v>0</v>
      </c>
      <c r="G26" s="54">
        <v>0</v>
      </c>
      <c r="H26" s="54">
        <v>-4150</v>
      </c>
      <c r="I26" s="54">
        <v>0</v>
      </c>
      <c r="J26" s="54">
        <v>0</v>
      </c>
      <c r="K26" s="54">
        <v>0</v>
      </c>
      <c r="L26" s="54">
        <v>0</v>
      </c>
      <c r="M26" s="54">
        <v>0</v>
      </c>
      <c r="N26" s="54">
        <v>0</v>
      </c>
      <c r="O26" s="54">
        <v>0</v>
      </c>
    </row>
    <row r="27" spans="1:15" x14ac:dyDescent="0.2">
      <c r="B27" s="53">
        <v>5311001</v>
      </c>
      <c r="C27" s="53" t="s">
        <v>132</v>
      </c>
      <c r="D27" s="54">
        <v>-4404</v>
      </c>
      <c r="E27" s="54">
        <v>348605</v>
      </c>
      <c r="F27" s="54">
        <v>-378936</v>
      </c>
      <c r="G27" s="54">
        <v>4641</v>
      </c>
      <c r="H27" s="58">
        <v>1094480</v>
      </c>
      <c r="I27" s="58">
        <v>-1097640</v>
      </c>
      <c r="J27" s="54">
        <v>-3660</v>
      </c>
      <c r="K27" s="54">
        <v>-37236</v>
      </c>
      <c r="L27" s="54">
        <v>85</v>
      </c>
      <c r="M27" s="54">
        <v>0</v>
      </c>
      <c r="N27" s="54">
        <v>0</v>
      </c>
      <c r="O27" s="54">
        <v>0</v>
      </c>
    </row>
    <row r="28" spans="1:15" x14ac:dyDescent="0.2">
      <c r="B28" s="53">
        <v>5811003</v>
      </c>
      <c r="C28" s="53" t="s">
        <v>203</v>
      </c>
      <c r="D28" s="54">
        <v>0</v>
      </c>
      <c r="E28" s="54">
        <v>0</v>
      </c>
      <c r="F28" s="54">
        <v>0</v>
      </c>
      <c r="G28" s="54">
        <v>0</v>
      </c>
      <c r="H28" s="54">
        <v>0</v>
      </c>
      <c r="I28" s="54">
        <v>0</v>
      </c>
      <c r="J28" s="54">
        <v>0</v>
      </c>
      <c r="K28" s="54">
        <v>0</v>
      </c>
      <c r="L28" s="54">
        <v>0</v>
      </c>
      <c r="M28" s="54">
        <v>0</v>
      </c>
      <c r="N28" s="54">
        <v>0</v>
      </c>
      <c r="O28" s="54">
        <v>0</v>
      </c>
    </row>
    <row r="29" spans="1:15" x14ac:dyDescent="0.2">
      <c r="B29" s="53">
        <v>5811004</v>
      </c>
      <c r="C29" s="53" t="s">
        <v>138</v>
      </c>
      <c r="D29" s="54">
        <v>5126098.75</v>
      </c>
      <c r="E29" s="54">
        <v>0</v>
      </c>
      <c r="F29" s="54">
        <v>163044</v>
      </c>
      <c r="G29" s="54">
        <v>406793.5</v>
      </c>
      <c r="H29" s="54">
        <v>1100</v>
      </c>
      <c r="I29" s="54">
        <v>500</v>
      </c>
      <c r="J29" s="54">
        <v>0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</row>
    <row r="30" spans="1:15" x14ac:dyDescent="0.2">
      <c r="B30" s="53">
        <v>599</v>
      </c>
      <c r="C30" s="53" t="s">
        <v>146</v>
      </c>
      <c r="D30" s="54">
        <v>0</v>
      </c>
      <c r="E30" s="54">
        <v>0</v>
      </c>
      <c r="F30" s="54">
        <v>0</v>
      </c>
      <c r="G30" s="54">
        <v>0</v>
      </c>
      <c r="H30" s="54">
        <v>0</v>
      </c>
      <c r="I30" s="54">
        <v>0</v>
      </c>
      <c r="J30" s="54">
        <v>0</v>
      </c>
      <c r="K30" s="54">
        <v>0</v>
      </c>
      <c r="L30" s="54">
        <v>0</v>
      </c>
      <c r="M30" s="54">
        <v>0</v>
      </c>
      <c r="N30" s="54">
        <v>0</v>
      </c>
      <c r="O30" s="54">
        <v>0</v>
      </c>
    </row>
    <row r="31" spans="1:15" x14ac:dyDescent="0.2">
      <c r="B31" s="53">
        <v>6035</v>
      </c>
      <c r="C31" s="53" t="s">
        <v>123</v>
      </c>
      <c r="D31" s="54">
        <v>558302.18299999996</v>
      </c>
      <c r="E31" s="54">
        <v>20100.108</v>
      </c>
      <c r="F31" s="54">
        <v>128330.817</v>
      </c>
      <c r="G31" s="54">
        <v>-2880947.298</v>
      </c>
      <c r="H31" s="54">
        <v>-1775990.8670000001</v>
      </c>
      <c r="I31" s="54">
        <v>1231008.6669999999</v>
      </c>
      <c r="J31" s="54">
        <v>676386.80700000003</v>
      </c>
      <c r="K31" s="54">
        <v>979963.80599999998</v>
      </c>
      <c r="L31" s="54">
        <v>1158075.56</v>
      </c>
      <c r="M31" s="54">
        <v>0</v>
      </c>
      <c r="N31" s="54">
        <v>0</v>
      </c>
      <c r="O31" s="54">
        <v>0</v>
      </c>
    </row>
    <row r="32" spans="1:15" x14ac:dyDescent="0.2">
      <c r="B32" s="53">
        <v>605</v>
      </c>
      <c r="C32" s="53" t="s">
        <v>124</v>
      </c>
      <c r="D32" s="54">
        <v>847497.49</v>
      </c>
      <c r="E32" s="54">
        <v>1089693.52</v>
      </c>
      <c r="F32" s="54">
        <v>2137038.64</v>
      </c>
      <c r="G32" s="54">
        <v>3793142.03</v>
      </c>
      <c r="H32" s="54">
        <v>4551287.72</v>
      </c>
      <c r="I32" s="54">
        <v>1195056.6599999999</v>
      </c>
      <c r="J32" s="54">
        <v>1532285</v>
      </c>
      <c r="K32" s="54">
        <v>1281223.6499999999</v>
      </c>
      <c r="L32" s="54">
        <v>1093973.33</v>
      </c>
      <c r="M32" s="54">
        <v>0</v>
      </c>
      <c r="N32" s="54">
        <v>0</v>
      </c>
      <c r="O32" s="54">
        <v>0</v>
      </c>
    </row>
    <row r="33" spans="1:16" x14ac:dyDescent="0.2">
      <c r="A33" s="57"/>
      <c r="B33" s="53">
        <v>608</v>
      </c>
      <c r="C33" s="53" t="s">
        <v>204</v>
      </c>
      <c r="D33" s="54">
        <v>0</v>
      </c>
      <c r="E33" s="54">
        <v>0</v>
      </c>
      <c r="F33" s="54">
        <v>0</v>
      </c>
      <c r="G33" s="54">
        <v>0</v>
      </c>
      <c r="H33" s="54">
        <v>0</v>
      </c>
      <c r="I33" s="54">
        <v>0</v>
      </c>
      <c r="J33" s="54">
        <v>642.6</v>
      </c>
      <c r="K33" s="54">
        <v>0</v>
      </c>
      <c r="L33" s="54">
        <v>11822.5</v>
      </c>
      <c r="M33" s="54">
        <v>0</v>
      </c>
      <c r="N33" s="54">
        <v>0</v>
      </c>
      <c r="O33" s="54">
        <v>0</v>
      </c>
    </row>
    <row r="34" spans="1:16" x14ac:dyDescent="0.2">
      <c r="B34" s="53">
        <v>613</v>
      </c>
      <c r="C34" s="53" t="s">
        <v>157</v>
      </c>
      <c r="D34" s="54">
        <v>0</v>
      </c>
      <c r="E34" s="54">
        <v>0</v>
      </c>
      <c r="F34" s="54">
        <v>0</v>
      </c>
      <c r="G34" s="54">
        <v>0</v>
      </c>
      <c r="H34" s="58">
        <v>0</v>
      </c>
      <c r="I34" s="58">
        <v>0</v>
      </c>
      <c r="J34" s="58">
        <v>0</v>
      </c>
      <c r="K34" s="58">
        <v>0</v>
      </c>
      <c r="L34" s="58">
        <v>0</v>
      </c>
      <c r="M34" s="54">
        <v>0</v>
      </c>
      <c r="N34" s="54">
        <v>0</v>
      </c>
      <c r="O34" s="54">
        <v>0</v>
      </c>
    </row>
    <row r="35" spans="1:16" x14ac:dyDescent="0.2">
      <c r="B35" s="53">
        <v>618</v>
      </c>
      <c r="C35" s="53" t="s">
        <v>118</v>
      </c>
      <c r="D35" s="54">
        <v>0</v>
      </c>
      <c r="E35" s="54">
        <v>0</v>
      </c>
      <c r="F35" s="54">
        <v>0</v>
      </c>
      <c r="G35" s="54">
        <v>0</v>
      </c>
      <c r="H35" s="54">
        <v>0</v>
      </c>
      <c r="I35" s="54">
        <v>0</v>
      </c>
      <c r="J35" s="54">
        <v>0</v>
      </c>
      <c r="K35" s="54">
        <v>0</v>
      </c>
      <c r="L35" s="54">
        <v>8800</v>
      </c>
      <c r="M35" s="54">
        <v>0</v>
      </c>
      <c r="N35" s="54">
        <v>0</v>
      </c>
      <c r="O35" s="54">
        <v>0</v>
      </c>
    </row>
    <row r="36" spans="1:16" x14ac:dyDescent="0.2">
      <c r="B36" s="53">
        <v>6260001</v>
      </c>
      <c r="C36" s="53" t="s">
        <v>158</v>
      </c>
      <c r="D36" s="54">
        <v>0</v>
      </c>
      <c r="E36" s="54">
        <v>0</v>
      </c>
      <c r="F36" s="54">
        <v>0</v>
      </c>
      <c r="G36" s="54">
        <v>40000</v>
      </c>
      <c r="H36" s="58">
        <v>0</v>
      </c>
      <c r="I36" s="58">
        <v>0</v>
      </c>
      <c r="J36" s="54">
        <v>0</v>
      </c>
      <c r="K36" s="54">
        <v>0</v>
      </c>
      <c r="L36" s="54">
        <v>20000</v>
      </c>
      <c r="M36" s="54">
        <v>0</v>
      </c>
      <c r="N36" s="54">
        <v>0</v>
      </c>
      <c r="O36" s="54">
        <v>0</v>
      </c>
    </row>
    <row r="37" spans="1:16" x14ac:dyDescent="0.2">
      <c r="B37" s="53">
        <v>628</v>
      </c>
      <c r="C37" s="53" t="s">
        <v>114</v>
      </c>
      <c r="D37" s="54">
        <v>1638.67</v>
      </c>
      <c r="E37" s="54">
        <v>2138.67</v>
      </c>
      <c r="F37" s="54">
        <v>1918.67</v>
      </c>
      <c r="G37" s="54">
        <v>1638.67</v>
      </c>
      <c r="H37" s="54">
        <v>3009.5</v>
      </c>
      <c r="I37" s="54">
        <v>1032.5</v>
      </c>
      <c r="J37" s="54">
        <v>0</v>
      </c>
      <c r="K37" s="54">
        <v>0</v>
      </c>
      <c r="L37" s="54">
        <v>0</v>
      </c>
      <c r="M37" s="54">
        <v>0</v>
      </c>
      <c r="N37" s="54">
        <v>0</v>
      </c>
      <c r="O37" s="54">
        <v>0</v>
      </c>
    </row>
    <row r="38" spans="1:16" x14ac:dyDescent="0.2">
      <c r="B38" s="52">
        <v>641</v>
      </c>
      <c r="C38" s="52" t="s">
        <v>115</v>
      </c>
      <c r="D38" s="55">
        <v>166264</v>
      </c>
      <c r="E38" s="55">
        <v>166264</v>
      </c>
      <c r="F38" s="55">
        <v>210303</v>
      </c>
      <c r="G38" s="55">
        <v>192978</v>
      </c>
      <c r="H38" s="55">
        <v>200012</v>
      </c>
      <c r="I38" s="55">
        <v>224224</v>
      </c>
      <c r="J38" s="55">
        <v>224224</v>
      </c>
      <c r="K38" s="55">
        <v>224224</v>
      </c>
      <c r="L38" s="55">
        <v>224224</v>
      </c>
      <c r="M38" s="55">
        <v>0</v>
      </c>
      <c r="N38" s="55">
        <v>0</v>
      </c>
      <c r="O38" s="55">
        <v>0</v>
      </c>
    </row>
    <row r="39" spans="1:16" x14ac:dyDescent="0.2">
      <c r="B39" s="52">
        <v>644</v>
      </c>
      <c r="C39" s="52" t="s">
        <v>116</v>
      </c>
      <c r="D39" s="55">
        <v>27766</v>
      </c>
      <c r="E39" s="55">
        <v>27766</v>
      </c>
      <c r="F39" s="55">
        <v>33416</v>
      </c>
      <c r="G39" s="55">
        <v>30523</v>
      </c>
      <c r="H39" s="55">
        <v>32863</v>
      </c>
      <c r="I39" s="55">
        <v>36907</v>
      </c>
      <c r="J39" s="55">
        <v>36907</v>
      </c>
      <c r="K39" s="55">
        <v>36907</v>
      </c>
      <c r="L39" s="55">
        <v>36907</v>
      </c>
      <c r="M39" s="55">
        <v>0</v>
      </c>
      <c r="N39" s="55">
        <v>0</v>
      </c>
      <c r="O39" s="55">
        <v>0</v>
      </c>
    </row>
    <row r="40" spans="1:16" x14ac:dyDescent="0.2">
      <c r="B40" s="52">
        <v>658</v>
      </c>
      <c r="C40" s="52" t="s">
        <v>147</v>
      </c>
      <c r="D40" s="55">
        <v>11120.8</v>
      </c>
      <c r="E40" s="55">
        <v>0</v>
      </c>
      <c r="F40" s="55">
        <v>18328</v>
      </c>
      <c r="G40" s="55">
        <v>0</v>
      </c>
      <c r="H40" s="55">
        <v>0</v>
      </c>
      <c r="I40" s="55">
        <v>16328.8</v>
      </c>
      <c r="J40" s="55">
        <v>0</v>
      </c>
      <c r="K40" s="55">
        <v>0</v>
      </c>
      <c r="L40" s="55">
        <v>0</v>
      </c>
      <c r="M40" s="55">
        <v>0</v>
      </c>
      <c r="N40" s="55">
        <v>0</v>
      </c>
      <c r="O40" s="55">
        <v>0</v>
      </c>
    </row>
    <row r="41" spans="1:16" x14ac:dyDescent="0.2">
      <c r="B41" s="52">
        <v>667</v>
      </c>
      <c r="C41" s="52" t="s">
        <v>169</v>
      </c>
      <c r="D41" s="55">
        <v>34160.33</v>
      </c>
      <c r="E41" s="55">
        <v>36942.75</v>
      </c>
      <c r="F41" s="55">
        <v>8633.25</v>
      </c>
      <c r="G41" s="55">
        <v>60339.6</v>
      </c>
      <c r="H41" s="55">
        <v>34408.800000000003</v>
      </c>
      <c r="I41" s="55">
        <v>35784.449999999997</v>
      </c>
      <c r="J41" s="55">
        <v>0</v>
      </c>
      <c r="K41" s="55">
        <v>0</v>
      </c>
      <c r="L41" s="55">
        <v>0</v>
      </c>
      <c r="M41" s="55">
        <v>0</v>
      </c>
      <c r="N41" s="55">
        <v>0</v>
      </c>
      <c r="O41" s="55">
        <v>0</v>
      </c>
    </row>
    <row r="42" spans="1:16" x14ac:dyDescent="0.2">
      <c r="B42" s="52">
        <v>705</v>
      </c>
      <c r="C42" s="52" t="s">
        <v>125</v>
      </c>
      <c r="D42" s="55">
        <v>-1724242.52</v>
      </c>
      <c r="E42" s="55">
        <v>-1329283.32</v>
      </c>
      <c r="F42" s="55">
        <v>-2618874.9900000002</v>
      </c>
      <c r="G42" s="55">
        <v>-1086029.98</v>
      </c>
      <c r="H42" s="55">
        <v>-3170796.7</v>
      </c>
      <c r="I42" s="55">
        <v>-2749163.3</v>
      </c>
      <c r="J42" s="55">
        <v>-2673691.69</v>
      </c>
      <c r="K42" s="55">
        <v>-2765304.97</v>
      </c>
      <c r="L42" s="55">
        <v>-2286983.2799999998</v>
      </c>
      <c r="M42" s="55">
        <v>0</v>
      </c>
      <c r="N42" s="55">
        <v>0</v>
      </c>
      <c r="O42" s="55">
        <v>0</v>
      </c>
    </row>
    <row r="43" spans="1:16" x14ac:dyDescent="0.2">
      <c r="B43" s="52">
        <v>7080001</v>
      </c>
      <c r="C43" s="52" t="s">
        <v>148</v>
      </c>
      <c r="D43" s="55">
        <v>-247427</v>
      </c>
      <c r="E43" s="55">
        <v>-244350</v>
      </c>
      <c r="F43" s="55">
        <v>-246160</v>
      </c>
      <c r="G43" s="55">
        <v>-244350</v>
      </c>
      <c r="H43" s="58">
        <v>-244350</v>
      </c>
      <c r="I43" s="58">
        <v>-240730</v>
      </c>
      <c r="J43" s="58">
        <v>-240730</v>
      </c>
      <c r="K43" s="58">
        <v>-240730</v>
      </c>
      <c r="L43" s="58">
        <v>-241454</v>
      </c>
      <c r="M43" s="55">
        <v>0</v>
      </c>
      <c r="N43" s="55">
        <v>0</v>
      </c>
      <c r="O43" s="55">
        <v>0</v>
      </c>
    </row>
    <row r="44" spans="1:16" x14ac:dyDescent="0.2">
      <c r="B44" s="52">
        <v>769</v>
      </c>
      <c r="C44" s="52" t="s">
        <v>159</v>
      </c>
      <c r="D44" s="55">
        <v>-0.22</v>
      </c>
      <c r="E44" s="55">
        <v>0</v>
      </c>
      <c r="F44" s="55">
        <v>-10613.34</v>
      </c>
      <c r="G44" s="55">
        <v>-1008</v>
      </c>
      <c r="H44" s="55">
        <v>-20650</v>
      </c>
      <c r="I44" s="55">
        <v>-22468.2</v>
      </c>
      <c r="J44" s="55">
        <v>-0.32</v>
      </c>
      <c r="K44" s="55">
        <v>0</v>
      </c>
      <c r="L44" s="55">
        <v>0</v>
      </c>
      <c r="M44" s="55">
        <v>0</v>
      </c>
      <c r="N44" s="55">
        <v>0</v>
      </c>
      <c r="O44" s="55">
        <v>0</v>
      </c>
    </row>
    <row r="46" spans="1:16" x14ac:dyDescent="0.2">
      <c r="C46" s="52" t="s">
        <v>205</v>
      </c>
      <c r="D46" s="55">
        <f>-SUM(D31:D41)</f>
        <v>-1646749.473</v>
      </c>
      <c r="E46" s="55">
        <f t="shared" ref="E46:L46" si="0">-SUM(E31:E41)</f>
        <v>-1342905.048</v>
      </c>
      <c r="F46" s="55">
        <f t="shared" si="0"/>
        <v>-2537968.3769999999</v>
      </c>
      <c r="G46" s="55">
        <f t="shared" si="0"/>
        <v>-1237674.0019999999</v>
      </c>
      <c r="H46" s="55">
        <f t="shared" si="0"/>
        <v>-3045590.1529999995</v>
      </c>
      <c r="I46" s="55">
        <f t="shared" si="0"/>
        <v>-2740342.0769999996</v>
      </c>
      <c r="J46" s="55">
        <f t="shared" si="0"/>
        <v>-2470445.4070000001</v>
      </c>
      <c r="K46" s="55">
        <f t="shared" si="0"/>
        <v>-2522318.4559999998</v>
      </c>
      <c r="L46" s="55">
        <f t="shared" si="0"/>
        <v>-2553802.39</v>
      </c>
      <c r="P46" s="55"/>
    </row>
    <row r="47" spans="1:16" x14ac:dyDescent="0.2">
      <c r="C47" s="52" t="s">
        <v>206</v>
      </c>
      <c r="D47" s="55">
        <f>+'P&amp;L'!H20+'P&amp;L'!H53</f>
        <v>-1726549.473</v>
      </c>
      <c r="E47" s="55">
        <f>+'P&amp;L'!I20+'P&amp;L'!I53</f>
        <v>-1422705.048</v>
      </c>
      <c r="F47" s="55">
        <f>+'P&amp;L'!J20+'P&amp;L'!J53</f>
        <v>-2933008.3769999999</v>
      </c>
      <c r="G47" s="55">
        <f>+'P&amp;L'!K20+'P&amp;L'!K53</f>
        <v>-1317474.0019999999</v>
      </c>
      <c r="H47" s="55">
        <f>+'P&amp;L'!L20+'P&amp;L'!L53</f>
        <v>-3125390.1529999995</v>
      </c>
      <c r="I47" s="55">
        <f>+'P&amp;L'!M20+'P&amp;L'!M53</f>
        <v>-2820142.0769999996</v>
      </c>
      <c r="J47" s="55">
        <f>+'P&amp;L'!N20+'P&amp;L'!N53</f>
        <v>-2550245.4070000001</v>
      </c>
      <c r="K47" s="55">
        <f>+'P&amp;L'!O20+'P&amp;L'!O53</f>
        <v>-2602118.4559999998</v>
      </c>
      <c r="L47" s="55">
        <f>+'P&amp;L'!P20+'P&amp;L'!P53</f>
        <v>-2633602.39</v>
      </c>
      <c r="P47" s="55"/>
    </row>
    <row r="48" spans="1:16" x14ac:dyDescent="0.2">
      <c r="C48" s="52" t="s">
        <v>207</v>
      </c>
      <c r="D48" s="55">
        <f>+D46-D47</f>
        <v>79800</v>
      </c>
      <c r="E48" s="55">
        <f t="shared" ref="E48:L48" si="1">+E46-E47</f>
        <v>79800</v>
      </c>
      <c r="F48" s="55">
        <f t="shared" si="1"/>
        <v>395040</v>
      </c>
      <c r="G48" s="55">
        <f t="shared" si="1"/>
        <v>79800</v>
      </c>
      <c r="H48" s="55">
        <f t="shared" si="1"/>
        <v>79800</v>
      </c>
      <c r="I48" s="55">
        <f t="shared" si="1"/>
        <v>79800</v>
      </c>
      <c r="J48" s="55">
        <f t="shared" ref="J48" si="2">+J46-J47</f>
        <v>79800</v>
      </c>
      <c r="K48" s="55">
        <f t="shared" ref="K48" si="3">+K46-K47</f>
        <v>79800</v>
      </c>
      <c r="L48" s="55">
        <f t="shared" ref="L48" si="4">+L46-L47</f>
        <v>79800</v>
      </c>
    </row>
    <row r="50" spans="3:12" x14ac:dyDescent="0.2">
      <c r="C50" s="52" t="s">
        <v>208</v>
      </c>
      <c r="D50" s="55">
        <f>-SUM(D42:D44)</f>
        <v>1971669.74</v>
      </c>
      <c r="E50" s="55">
        <f t="shared" ref="E50:L50" si="5">-SUM(E42:E44)</f>
        <v>1573633.32</v>
      </c>
      <c r="F50" s="55">
        <f t="shared" si="5"/>
        <v>2875648.33</v>
      </c>
      <c r="G50" s="55">
        <f t="shared" si="5"/>
        <v>1331387.98</v>
      </c>
      <c r="H50" s="55">
        <f t="shared" si="5"/>
        <v>3435796.7</v>
      </c>
      <c r="I50" s="55">
        <f t="shared" si="5"/>
        <v>3012361.5</v>
      </c>
      <c r="J50" s="55">
        <f t="shared" si="5"/>
        <v>2914422.01</v>
      </c>
      <c r="K50" s="55">
        <f t="shared" si="5"/>
        <v>3006034.97</v>
      </c>
      <c r="L50" s="55">
        <f t="shared" si="5"/>
        <v>2528437.2799999998</v>
      </c>
    </row>
    <row r="51" spans="3:12" x14ac:dyDescent="0.2">
      <c r="C51" s="52" t="s">
        <v>209</v>
      </c>
      <c r="D51" s="55">
        <f>+'P&amp;L'!H17</f>
        <v>1971669.74</v>
      </c>
      <c r="E51" s="55">
        <f>+'P&amp;L'!I17</f>
        <v>1573633.32</v>
      </c>
      <c r="F51" s="55">
        <f>+'P&amp;L'!J17</f>
        <v>2875648.33</v>
      </c>
      <c r="G51" s="55">
        <f>+'P&amp;L'!K17</f>
        <v>1331387.98</v>
      </c>
      <c r="H51" s="55">
        <f>+'P&amp;L'!L17</f>
        <v>3435796.7</v>
      </c>
      <c r="I51" s="55">
        <f>+'P&amp;L'!M17</f>
        <v>3012361.5</v>
      </c>
      <c r="J51" s="55">
        <f>+'P&amp;L'!N17</f>
        <v>2914422.01</v>
      </c>
      <c r="K51" s="55">
        <f>+'P&amp;L'!O17</f>
        <v>3006034.97</v>
      </c>
      <c r="L51" s="55">
        <f>+'P&amp;L'!P17</f>
        <v>2528437.2799999998</v>
      </c>
    </row>
    <row r="52" spans="3:12" x14ac:dyDescent="0.2">
      <c r="C52" s="52" t="s">
        <v>207</v>
      </c>
      <c r="D52" s="55">
        <f>+D50-D51</f>
        <v>0</v>
      </c>
      <c r="E52" s="55">
        <f t="shared" ref="E52:L52" si="6">+E50-E51</f>
        <v>0</v>
      </c>
      <c r="F52" s="55">
        <f t="shared" si="6"/>
        <v>0</v>
      </c>
      <c r="G52" s="55">
        <f t="shared" si="6"/>
        <v>0</v>
      </c>
      <c r="H52" s="55">
        <f t="shared" si="6"/>
        <v>0</v>
      </c>
      <c r="I52" s="55">
        <f t="shared" si="6"/>
        <v>0</v>
      </c>
      <c r="J52" s="55">
        <f t="shared" si="6"/>
        <v>0</v>
      </c>
      <c r="K52" s="55">
        <f t="shared" si="6"/>
        <v>0</v>
      </c>
      <c r="L52" s="55">
        <f t="shared" si="6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P&amp;L</vt:lpstr>
      <vt:lpstr>CashFlow</vt:lpstr>
      <vt:lpstr>Inventories</vt:lpstr>
      <vt:lpstr>VAT</vt:lpstr>
      <vt:lpstr>dividenti</vt:lpstr>
      <vt:lpstr>lv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2017-10-13T09:53:19Z</dcterms:modified>
</cp:coreProperties>
</file>